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1DE4\"/>
    </mc:Choice>
  </mc:AlternateContent>
  <xr:revisionPtr revIDLastSave="0" documentId="8_{6E5FEA0E-8912-4FBC-924E-089A22874DB3}" xr6:coauthVersionLast="43" xr6:coauthVersionMax="43" xr10:uidLastSave="{00000000-0000-0000-0000-000000000000}"/>
  <bookViews>
    <workbookView xWindow="-120" yWindow="-120" windowWidth="15600" windowHeight="11760" xr2:uid="{00000000-000D-0000-FFFF-FFFF00000000}"/>
  </bookViews>
  <sheets>
    <sheet name="Ref =1 Chestahedron" sheetId="2" r:id="rId1"/>
    <sheet name="Dekatriahedron" sheetId="3" r:id="rId2"/>
    <sheet name="Chestahedron =Qtr Base" sheetId="4" r:id="rId3"/>
    <sheet name="Ratios SA-Vol" sheetId="5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5" i="5"/>
  <c r="C10" i="4"/>
  <c r="I11" i="4"/>
  <c r="B14" i="4"/>
  <c r="E16" i="4"/>
  <c r="E43" i="4"/>
  <c r="F43" i="4"/>
  <c r="F10" i="4"/>
  <c r="F16" i="4"/>
  <c r="C24" i="4"/>
  <c r="B15" i="4"/>
  <c r="B16" i="4"/>
  <c r="C12" i="3"/>
  <c r="D12" i="3"/>
  <c r="E12" i="3"/>
  <c r="E13" i="3"/>
  <c r="B40" i="3"/>
  <c r="B33" i="3"/>
  <c r="B35" i="3"/>
  <c r="E33" i="3"/>
  <c r="B20" i="3"/>
  <c r="C33" i="3"/>
  <c r="H25" i="3"/>
  <c r="G25" i="3"/>
  <c r="G13" i="3"/>
  <c r="F12" i="3"/>
  <c r="D13" i="3"/>
  <c r="B14" i="2"/>
  <c r="C21" i="2"/>
  <c r="E16" i="2"/>
  <c r="E19" i="2"/>
  <c r="C22" i="2"/>
  <c r="E43" i="2"/>
  <c r="F43" i="2"/>
  <c r="B15" i="2"/>
  <c r="B16" i="2"/>
  <c r="F16" i="2"/>
  <c r="C24" i="2"/>
  <c r="C10" i="2"/>
  <c r="D10" i="2"/>
  <c r="E10" i="2"/>
  <c r="C37" i="2"/>
  <c r="A19" i="2"/>
  <c r="B19" i="2"/>
  <c r="C23" i="2"/>
  <c r="D13" i="2"/>
  <c r="C13" i="2"/>
  <c r="F13" i="2"/>
  <c r="B60" i="2"/>
  <c r="C39" i="2"/>
  <c r="C21" i="4"/>
  <c r="C33" i="4"/>
  <c r="E35" i="3"/>
  <c r="E29" i="3"/>
  <c r="E39" i="3"/>
  <c r="E27" i="3"/>
  <c r="E41" i="3"/>
  <c r="B49" i="3"/>
  <c r="B55" i="3"/>
  <c r="C16" i="2"/>
  <c r="C30" i="2"/>
  <c r="C25" i="2"/>
  <c r="C26" i="2"/>
  <c r="C39" i="3"/>
  <c r="C27" i="3"/>
  <c r="C34" i="2"/>
  <c r="K17" i="4"/>
  <c r="E19" i="4"/>
  <c r="D33" i="3"/>
  <c r="B42" i="3"/>
  <c r="C13" i="4"/>
  <c r="C16" i="4"/>
  <c r="C34" i="4"/>
  <c r="B21" i="3"/>
  <c r="F10" i="2"/>
  <c r="C60" i="2"/>
  <c r="B38" i="3"/>
  <c r="B56" i="3"/>
  <c r="C19" i="2"/>
  <c r="D10" i="4"/>
  <c r="D13" i="4"/>
  <c r="B25" i="3"/>
  <c r="C19" i="3"/>
  <c r="B22" i="3"/>
  <c r="B23" i="3"/>
  <c r="C46" i="2"/>
  <c r="C42" i="2"/>
  <c r="D30" i="2"/>
  <c r="E10" i="4"/>
  <c r="K11" i="4"/>
  <c r="J11" i="4"/>
  <c r="I17" i="4"/>
  <c r="C19" i="4"/>
  <c r="I20" i="4"/>
  <c r="I14" i="4"/>
  <c r="F13" i="4"/>
  <c r="C22" i="4"/>
  <c r="K20" i="4"/>
  <c r="C39" i="4"/>
  <c r="C37" i="4"/>
  <c r="A19" i="4"/>
  <c r="B19" i="4"/>
  <c r="C23" i="4"/>
  <c r="J23" i="4"/>
  <c r="D27" i="3"/>
  <c r="B51" i="3"/>
  <c r="D35" i="3"/>
  <c r="D41" i="3"/>
  <c r="D39" i="3"/>
  <c r="D29" i="3"/>
  <c r="C62" i="2"/>
  <c r="C63" i="2"/>
  <c r="C64" i="2"/>
  <c r="C33" i="2"/>
  <c r="D34" i="2"/>
  <c r="C36" i="2"/>
  <c r="D36" i="2"/>
  <c r="D34" i="4"/>
  <c r="D16" i="4"/>
  <c r="D19" i="4"/>
  <c r="J20" i="4"/>
  <c r="J14" i="4"/>
  <c r="J17" i="4"/>
  <c r="C36" i="4"/>
  <c r="D36" i="4"/>
  <c r="B58" i="3"/>
  <c r="B59" i="3"/>
  <c r="C41" i="3"/>
  <c r="D16" i="2"/>
  <c r="D19" i="2"/>
  <c r="C45" i="3"/>
  <c r="E45" i="3"/>
  <c r="C29" i="3"/>
  <c r="C29" i="2"/>
  <c r="C30" i="4"/>
  <c r="C25" i="4"/>
  <c r="C26" i="4"/>
  <c r="C29" i="4"/>
  <c r="C65" i="2"/>
  <c r="C66" i="2"/>
  <c r="B24" i="3"/>
  <c r="B34" i="3"/>
  <c r="C43" i="2"/>
  <c r="C52" i="2"/>
  <c r="C48" i="2"/>
  <c r="D25" i="3"/>
  <c r="D23" i="3"/>
  <c r="D21" i="3"/>
  <c r="D19" i="3"/>
  <c r="D15" i="3"/>
  <c r="D17" i="3"/>
  <c r="C21" i="3"/>
  <c r="B26" i="3"/>
  <c r="B47" i="3"/>
  <c r="C31" i="2"/>
  <c r="D31" i="2"/>
  <c r="D29" i="2"/>
  <c r="C27" i="2"/>
  <c r="C55" i="2"/>
  <c r="D45" i="3"/>
  <c r="C40" i="2"/>
  <c r="D29" i="4"/>
  <c r="C27" i="4"/>
  <c r="C55" i="4"/>
  <c r="C31" i="4"/>
  <c r="D31" i="4"/>
  <c r="C40" i="4"/>
  <c r="B36" i="3"/>
  <c r="B48" i="3"/>
  <c r="B39" i="3"/>
  <c r="B32" i="3"/>
  <c r="C46" i="4"/>
  <c r="D30" i="4"/>
  <c r="C42" i="4"/>
  <c r="C50" i="2"/>
  <c r="C51" i="2"/>
  <c r="C47" i="2"/>
  <c r="C49" i="2"/>
  <c r="D49" i="2"/>
  <c r="C44" i="2"/>
  <c r="C45" i="2"/>
  <c r="B29" i="3"/>
  <c r="B37" i="3"/>
  <c r="B27" i="3"/>
  <c r="F15" i="3"/>
  <c r="B28" i="3"/>
  <c r="E19" i="3"/>
  <c r="C37" i="3"/>
  <c r="B41" i="3"/>
  <c r="E15" i="3"/>
  <c r="E21" i="3"/>
  <c r="E23" i="3"/>
  <c r="C15" i="3"/>
  <c r="C23" i="3"/>
  <c r="C43" i="4"/>
  <c r="C48" i="4"/>
  <c r="C52" i="4"/>
  <c r="C53" i="2"/>
  <c r="C54" i="2"/>
  <c r="C56" i="2"/>
  <c r="D56" i="2"/>
  <c r="E25" i="3"/>
  <c r="B50" i="3"/>
  <c r="E17" i="3"/>
  <c r="C25" i="3"/>
  <c r="C17" i="3"/>
  <c r="C50" i="4"/>
  <c r="C53" i="4"/>
  <c r="C54" i="4"/>
  <c r="C56" i="4"/>
  <c r="D56" i="4"/>
  <c r="D43" i="3"/>
  <c r="D31" i="3"/>
  <c r="D52" i="3"/>
  <c r="D37" i="3"/>
  <c r="D53" i="3"/>
  <c r="C47" i="4"/>
  <c r="C49" i="4"/>
  <c r="D49" i="4"/>
  <c r="C51" i="4"/>
  <c r="C44" i="4"/>
  <c r="C45" i="4"/>
  <c r="E31" i="3"/>
  <c r="E43" i="3"/>
  <c r="C31" i="3"/>
  <c r="C43" i="3"/>
  <c r="D51" i="3"/>
  <c r="B57" i="3"/>
  <c r="C61" i="3"/>
  <c r="B61" i="3"/>
</calcChain>
</file>

<file path=xl/sharedStrings.xml><?xml version="1.0" encoding="utf-8"?>
<sst xmlns="http://schemas.openxmlformats.org/spreadsheetml/2006/main" count="343" uniqueCount="246">
  <si>
    <t>Chestahedron Parameters</t>
  </si>
  <si>
    <t>Calculated by Dr. Karl Maret</t>
  </si>
  <si>
    <t>Date: 5/18/2010</t>
  </si>
  <si>
    <r>
      <t>Introduction</t>
    </r>
    <r>
      <rPr>
        <sz val="10"/>
        <rFont val="Arial"/>
        <family val="2"/>
      </rPr>
      <t xml:space="preserve">: The Chestahedron discovered by Frank Chester, San Francisco, CA can be visualized as the form that arises when a tetrahedron symmetrically </t>
    </r>
  </si>
  <si>
    <t xml:space="preserve"> opens outward, thereby creating 3 new kite-shaped faces, to create a form with 7 faces and 7 vertices. This spreadsheet allows the determination of the</t>
  </si>
  <si>
    <t xml:space="preserve"> parameters of this figure at selected dihedral angles formed between the base equilateral triangle with any equilateral side (Angle theta = independent variable in yellow)</t>
  </si>
  <si>
    <t>The other values associated with the Chestahedron are all derived from the this entered angle theta.  Specifically, the Chestahedron arises when all 7 surfaces</t>
  </si>
  <si>
    <r>
      <t xml:space="preserve">have the same surface area, i.e the triangle = kite or quadrilateral surface area at an opening angle of theta = 94.8309261816304 degrees. </t>
    </r>
    <r>
      <rPr>
        <b/>
        <u/>
        <sz val="10"/>
        <rFont val="Arial"/>
        <family val="2"/>
      </rPr>
      <t>Side of Base Triangle = 1</t>
    </r>
  </si>
  <si>
    <r>
      <t>Below are the X-Y-Z Chestahedron Coordinates with 0,0,0 at the Base Triangle Center</t>
    </r>
    <r>
      <rPr>
        <sz val="10"/>
        <rFont val="Arial"/>
        <family val="2"/>
      </rPr>
      <t xml:space="preserve"> (X Axis = left-right), Y axis = Vertical, Z axis= Front-Back)</t>
    </r>
  </si>
  <si>
    <t>Base Triangle, Vertices ABC</t>
  </si>
  <si>
    <t>A-x below with Ay=0, Az =0</t>
  </si>
  <si>
    <t>B-x below, By = 0, Bz = - 0.5000</t>
  </si>
  <si>
    <t>Cx below, Cy=0, Cz= 0.500</t>
  </si>
  <si>
    <t>Radius of Circle (r1) enclosing Base Triangle</t>
  </si>
  <si>
    <r>
      <t xml:space="preserve">Dihedral Angle </t>
    </r>
    <r>
      <rPr>
        <b/>
        <u/>
        <sz val="10"/>
        <rFont val="Arial"/>
        <family val="2"/>
      </rPr>
      <t>Theta</t>
    </r>
    <r>
      <rPr>
        <sz val="10"/>
        <rFont val="Arial"/>
      </rPr>
      <t xml:space="preserve"> is the</t>
    </r>
  </si>
  <si>
    <t xml:space="preserve">Upper Triangle, Vertices PQR </t>
  </si>
  <si>
    <r>
      <t>Independent Variable</t>
    </r>
    <r>
      <rPr>
        <sz val="10"/>
        <rFont val="Arial"/>
      </rPr>
      <t xml:space="preserve"> </t>
    </r>
  </si>
  <si>
    <t>Px</t>
  </si>
  <si>
    <t>Py</t>
  </si>
  <si>
    <t>Pz</t>
  </si>
  <si>
    <t>Radius of Circle enclosing Triangle PQR</t>
  </si>
  <si>
    <t xml:space="preserve">Enter here in degrees </t>
  </si>
  <si>
    <t>Calculated Theta in radians</t>
  </si>
  <si>
    <t xml:space="preserve">Fraction of Theta in Minutes </t>
  </si>
  <si>
    <t>Qx</t>
  </si>
  <si>
    <t>Qy</t>
  </si>
  <si>
    <t>Qz</t>
  </si>
  <si>
    <t xml:space="preserve"> Radius of Circle circumscribed by the Base Triangle</t>
  </si>
  <si>
    <t>Fraction of Theta in Seconds</t>
  </si>
  <si>
    <r>
      <t xml:space="preserve">Dihedral angle </t>
    </r>
    <r>
      <rPr>
        <b/>
        <u/>
        <sz val="10"/>
        <rFont val="Arial"/>
        <family val="2"/>
      </rPr>
      <t>Omega</t>
    </r>
    <r>
      <rPr>
        <sz val="10"/>
        <rFont val="Arial"/>
      </rPr>
      <t xml:space="preserve"> (Base to Kite) </t>
    </r>
  </si>
  <si>
    <t>Angle Omega in radians</t>
  </si>
  <si>
    <t>Rx</t>
  </si>
  <si>
    <t>Ry</t>
  </si>
  <si>
    <t>Rz</t>
  </si>
  <si>
    <t xml:space="preserve"> </t>
  </si>
  <si>
    <r>
      <t xml:space="preserve">Height </t>
    </r>
    <r>
      <rPr>
        <sz val="10"/>
        <rFont val="Arial"/>
      </rPr>
      <t>(Apex point T) Y-coordinate only, Tx=Tz= 0</t>
    </r>
  </si>
  <si>
    <t>Reference Theta Dihedral angle for precise Chestahedron form</t>
  </si>
  <si>
    <r>
      <t>PQ</t>
    </r>
    <r>
      <rPr>
        <sz val="10"/>
        <rFont val="Arial"/>
      </rPr>
      <t xml:space="preserve"> = QR =RQ = Horiz of Kite</t>
    </r>
  </si>
  <si>
    <r>
      <t xml:space="preserve">which equals </t>
    </r>
    <r>
      <rPr>
        <b/>
        <u/>
        <sz val="10"/>
        <rFont val="Arial"/>
        <family val="2"/>
      </rPr>
      <t xml:space="preserve">94 deg 49 min 51.334 sec </t>
    </r>
    <r>
      <rPr>
        <sz val="10"/>
        <rFont val="Arial"/>
      </rPr>
      <t>and has all face areas equal</t>
    </r>
  </si>
  <si>
    <r>
      <t>AT</t>
    </r>
    <r>
      <rPr>
        <sz val="10"/>
        <rFont val="Arial"/>
      </rPr>
      <t>=BT=CT= Vertical of Kite</t>
    </r>
  </si>
  <si>
    <t>Copy and paste this to cell A14 for exact Chestahedron conditions</t>
  </si>
  <si>
    <r>
      <t>Area of any Equilateral Triangle</t>
    </r>
    <r>
      <rPr>
        <sz val="10"/>
        <rFont val="Arial"/>
      </rPr>
      <t xml:space="preserve"> (fixed)</t>
    </r>
  </si>
  <si>
    <r>
      <t>Area of Kite</t>
    </r>
    <r>
      <rPr>
        <sz val="10"/>
        <rFont val="Arial"/>
      </rPr>
      <t xml:space="preserve"> = 0.5 x AT x PQ</t>
    </r>
  </si>
  <si>
    <t>Angle for octahedral opening</t>
  </si>
  <si>
    <r>
      <t>Total Surface Area of Chestahedron</t>
    </r>
    <r>
      <rPr>
        <sz val="10"/>
        <rFont val="Arial"/>
      </rPr>
      <t xml:space="preserve"> (4 x Triangle + 3 x Kite SA)</t>
    </r>
  </si>
  <si>
    <t>Angle for Height being Phi exactly</t>
  </si>
  <si>
    <r>
      <t>Length of top edge of Kite</t>
    </r>
    <r>
      <rPr>
        <sz val="10"/>
        <rFont val="Arial"/>
      </rPr>
      <t xml:space="preserve"> = PT=QT=RT (Bottom edge Kite always = 1)</t>
    </r>
  </si>
  <si>
    <t>Angles inside of Kite</t>
  </si>
  <si>
    <t>Below angles in Radians</t>
  </si>
  <si>
    <t>Angle Alpha (PTQ) at top of Kite (degrees)</t>
  </si>
  <si>
    <t>Angle Beta (PBQ) at bottom of kite (in degrees)</t>
  </si>
  <si>
    <t>Side Angles of Kite at Vertices P, Q, or R (in degrees)</t>
  </si>
  <si>
    <t>Curved Surface of Cone Radius Circumscribed base &amp; Height to Apex</t>
  </si>
  <si>
    <t>Ratio between surfaces of two cones</t>
  </si>
  <si>
    <t>Curved Surface of Cone with radius inside of base &amp; Height to Apex</t>
  </si>
  <si>
    <t>Ratio of Cone Volumes</t>
  </si>
  <si>
    <t>Volume of Outside Cone</t>
  </si>
  <si>
    <t>Volume of Inside Cone</t>
  </si>
  <si>
    <t>Inside angle at apex of inside Cone</t>
  </si>
  <si>
    <t>in degrees</t>
  </si>
  <si>
    <t>Note: At Theta = 102.985 degrees the inside cone angle is 22.5 degrees</t>
  </si>
  <si>
    <r>
      <t>Sphere Radius (R4)</t>
    </r>
    <r>
      <rPr>
        <sz val="10"/>
        <rFont val="Arial"/>
      </rPr>
      <t xml:space="preserve"> sourrounding Chestahedron</t>
    </r>
  </si>
  <si>
    <t>Volume of the Chestahedon</t>
  </si>
  <si>
    <t>Distance QK (meeting Trapezoid &amp; Chapel)</t>
  </si>
  <si>
    <t>Basic unit measure of 13-fold</t>
  </si>
  <si>
    <t>Ref PHI</t>
  </si>
  <si>
    <t>Ref sqrt(2)/Phi</t>
  </si>
  <si>
    <t>Distance AK from bottom to Trap/Chapel Point (1-QK) =AJ</t>
  </si>
  <si>
    <t>Check QY from Kite</t>
  </si>
  <si>
    <t>Cell C44 = C42)</t>
  </si>
  <si>
    <t>AH</t>
  </si>
  <si>
    <t>HK</t>
  </si>
  <si>
    <t>Scale *Check sqrt(2)/phi2</t>
  </si>
  <si>
    <t>Difference in %</t>
  </si>
  <si>
    <t>Difference between C47 and C48</t>
  </si>
  <si>
    <t>Diff is zero at angle</t>
  </si>
  <si>
    <t>Height along kite axis AN</t>
  </si>
  <si>
    <t>NT = length N to apex</t>
  </si>
  <si>
    <t>Length to base house roof</t>
  </si>
  <si>
    <t>based C43 sqrt(2)/phi</t>
  </si>
  <si>
    <t>AF along kite vertical</t>
  </si>
  <si>
    <t>FT to apex</t>
  </si>
  <si>
    <t>TS = intersect along vert kite to horiz</t>
  </si>
  <si>
    <t>Should FT = ST ?  % diff below</t>
  </si>
  <si>
    <t>Difference between C54 and C55</t>
  </si>
  <si>
    <t>Calculations of 13-fold Coordinates</t>
  </si>
  <si>
    <t>Calculations for Trapezoid</t>
  </si>
  <si>
    <t>degrees</t>
  </si>
  <si>
    <t>radians</t>
  </si>
  <si>
    <r>
      <t xml:space="preserve">Angle </t>
    </r>
    <r>
      <rPr>
        <b/>
        <sz val="10"/>
        <rFont val="Arial"/>
        <family val="2"/>
      </rPr>
      <t>Gamma:</t>
    </r>
    <r>
      <rPr>
        <sz val="10"/>
        <rFont val="Arial"/>
      </rPr>
      <t xml:space="preserve"> Horiz to top edge of kites</t>
    </r>
  </si>
  <si>
    <t>Basic Assumption: Gamma angle = Trapezoid from Horiz</t>
  </si>
  <si>
    <t>Segment AZ</t>
  </si>
  <si>
    <t>Horiz segment triangle edge to z'</t>
  </si>
  <si>
    <t>Vert segment Trapezoid (Y-cord of ABCDEF)</t>
  </si>
  <si>
    <t>Height of Trapezoid on Face</t>
  </si>
  <si>
    <t>Along AT of kite from bottom</t>
  </si>
  <si>
    <t>Dekatriohedron Parameters</t>
  </si>
  <si>
    <t>Date: 5/23/2010</t>
  </si>
  <si>
    <r>
      <t>Introduction</t>
    </r>
    <r>
      <rPr>
        <sz val="10"/>
        <rFont val="Arial"/>
        <family val="2"/>
      </rPr>
      <t>: The 13-sided form discovered by Frank Chester, San Francisco, CA arises out of the truncation of the corners or edges of the Chestahedron in a transformative sequence found by him.</t>
    </r>
  </si>
  <si>
    <t>It has tentatively been called the Dekatriohedron (Dekatria = 13 in Greek) and consists of a form having 19 vertices, 13 faces and 30 edges.  It has been derived from the Chestahedron outlined in the other spreadsheet.</t>
  </si>
  <si>
    <t>The calculated vertices of this form uses the Chestahedron dihedral base angle Theta = 94.8309261816304 degrees which makes all the surface areas of each face of the resulting Chestahedron equal.</t>
  </si>
  <si>
    <t>The dekatriahedron is made up of one base triangle with side length 0.5 or half of the Chestahedron (Triangle Side length =1), 3 trapezoidal 4-sided faces, and nine 5-sided faces in groups of 3.</t>
  </si>
  <si>
    <t>Three 5-sided faces looks like a Superman crest and are called "Diamonds,"  three other 5-sided faces look like "Chapels" with an acute angled top vertex, with the last three 5-sided faces are called "Houses".</t>
  </si>
  <si>
    <t xml:space="preserve">The "Houses" have parallel sides with a roof and together are joined to create the apex or top point of the Dekatriahedron. </t>
  </si>
  <si>
    <r>
      <t>Below are the X-Y-Z Dekatriohedron Coordinates with 0,0,0 at the Base Triangle Center</t>
    </r>
    <r>
      <rPr>
        <sz val="10"/>
        <rFont val="Arial"/>
        <family val="2"/>
      </rPr>
      <t xml:space="preserve"> (X Axis = left-right), Y axis = Vertical, Z axis= Front-Back)</t>
    </r>
  </si>
  <si>
    <t>Base Triangle, Vertices UVW</t>
  </si>
  <si>
    <t>U-x below with Uy=0, Uz =0</t>
  </si>
  <si>
    <t>V-x (D12), Vz (D13) below, Vy = 0</t>
  </si>
  <si>
    <t>Wx below, Wy=0, Wz= -0.25</t>
  </si>
  <si>
    <t>Circle Radius (r3) enclosing Base Triangle</t>
  </si>
  <si>
    <t>Constants of Chestahedron Used</t>
  </si>
  <si>
    <t>These are Vertices 0, 1, and 2</t>
  </si>
  <si>
    <t>Circle Radius (r1) enclosing Base Triangle</t>
  </si>
  <si>
    <t xml:space="preserve">Scaling Factor for </t>
  </si>
  <si>
    <t>Trapezoid Vertices A,B,C,D,E,F</t>
  </si>
  <si>
    <t>Ax (Vertex 3)</t>
  </si>
  <si>
    <t>Ay</t>
  </si>
  <si>
    <t>Az</t>
  </si>
  <si>
    <t>Circle Radius (r4) enclosing Trapezoids</t>
  </si>
  <si>
    <t xml:space="preserve">Enter for larger Form </t>
  </si>
  <si>
    <t>Vertices 3, 4, 5, 6, 7 and 8 resp.</t>
  </si>
  <si>
    <t>Circle Radius (r2) enclosing Triangle PQR</t>
  </si>
  <si>
    <t>These are enclosed by Circle r4</t>
  </si>
  <si>
    <t>Bx (Vertex 4)</t>
  </si>
  <si>
    <t>By</t>
  </si>
  <si>
    <t>Bz</t>
  </si>
  <si>
    <t xml:space="preserve"> Circle Radius (r5) circumscribing Houses</t>
  </si>
  <si>
    <t>Distances used for Calculations</t>
  </si>
  <si>
    <t>Cx (Vertex 5)</t>
  </si>
  <si>
    <t>Cy</t>
  </si>
  <si>
    <t>Cz</t>
  </si>
  <si>
    <r>
      <t xml:space="preserve">Dihedral Base Angle </t>
    </r>
    <r>
      <rPr>
        <b/>
        <u/>
        <sz val="12"/>
        <rFont val="Arial"/>
        <family val="2"/>
      </rPr>
      <t>Theta</t>
    </r>
  </si>
  <si>
    <t>In radians</t>
  </si>
  <si>
    <t>Trapezoid Determination</t>
  </si>
  <si>
    <t>AX in Chestahedron</t>
  </si>
  <si>
    <t>Dx (Vertex 6)</t>
  </si>
  <si>
    <t>Dy</t>
  </si>
  <si>
    <t>Dz</t>
  </si>
  <si>
    <t>Horiz Distances of Trapezoid ZZ'</t>
  </si>
  <si>
    <r>
      <t xml:space="preserve">Dihedral Base Angle to Kite Face </t>
    </r>
    <r>
      <rPr>
        <b/>
        <u/>
        <sz val="12"/>
        <rFont val="Arial"/>
        <family val="2"/>
      </rPr>
      <t>Omega</t>
    </r>
  </si>
  <si>
    <t>Vert Dist of Trapezoid</t>
  </si>
  <si>
    <t>Ex (Vertex 7)</t>
  </si>
  <si>
    <t>Ey</t>
  </si>
  <si>
    <t>Ez</t>
  </si>
  <si>
    <t>Distance AZ' in bottom of Kite</t>
  </si>
  <si>
    <t>Length of Top Trapezoid</t>
  </si>
  <si>
    <t>Fx (Vertex 8)</t>
  </si>
  <si>
    <t>Fy</t>
  </si>
  <si>
    <t>Fz</t>
  </si>
  <si>
    <r>
      <t xml:space="preserve">Dihedral Angle Horiz PQR to Kite top edges </t>
    </r>
    <r>
      <rPr>
        <b/>
        <u/>
        <sz val="12"/>
        <rFont val="Arial"/>
        <family val="2"/>
      </rPr>
      <t>Gamma</t>
    </r>
  </si>
  <si>
    <t>Height of Trapezoid</t>
  </si>
  <si>
    <t>Side Lengths of Trapezoid</t>
  </si>
  <si>
    <t>Gx (Vertex 9)</t>
  </si>
  <si>
    <t>Gy</t>
  </si>
  <si>
    <t>Gz</t>
  </si>
  <si>
    <r>
      <t>Top angle inside Kite (</t>
    </r>
    <r>
      <rPr>
        <b/>
        <u/>
        <sz val="10"/>
        <rFont val="Arial"/>
      </rPr>
      <t>Alpha</t>
    </r>
    <r>
      <rPr>
        <u/>
        <sz val="10"/>
        <rFont val="Arial"/>
      </rPr>
      <t>)</t>
    </r>
  </si>
  <si>
    <r>
      <t>Angle</t>
    </r>
    <r>
      <rPr>
        <b/>
        <sz val="10"/>
        <rFont val="Arial"/>
        <family val="2"/>
      </rPr>
      <t xml:space="preserve"> Delta</t>
    </r>
    <r>
      <rPr>
        <sz val="10"/>
        <rFont val="Arial"/>
      </rPr>
      <t xml:space="preserve"> Z'XD (horiz) radians</t>
    </r>
  </si>
  <si>
    <t>Ratio Bottom/Top of Trapezoid</t>
  </si>
  <si>
    <t>Hx Vertex 10)</t>
  </si>
  <si>
    <t>Hy</t>
  </si>
  <si>
    <t>Hz</t>
  </si>
  <si>
    <r>
      <t xml:space="preserve">Bottom angle in Kite Face </t>
    </r>
    <r>
      <rPr>
        <b/>
        <u/>
        <sz val="10"/>
        <rFont val="Arial"/>
      </rPr>
      <t>(Beta)</t>
    </r>
  </si>
  <si>
    <t>Surface Area of Trapezoid Face</t>
  </si>
  <si>
    <t>Ix (Vertex 11)</t>
  </si>
  <si>
    <t>Iy</t>
  </si>
  <si>
    <t>Iz</t>
  </si>
  <si>
    <t>Chapel Determinations</t>
  </si>
  <si>
    <t>Vertices G,H,I,J,K,L</t>
  </si>
  <si>
    <t>Distance: kite bottom to Chapel Apex</t>
  </si>
  <si>
    <t>Jx (Vertex 12)</t>
  </si>
  <si>
    <t>Jy</t>
  </si>
  <si>
    <t>Jz</t>
  </si>
  <si>
    <t>Chestahedron Height (Apex T)</t>
  </si>
  <si>
    <t>Dist from Kite bottom of Diagonal</t>
  </si>
  <si>
    <t>Kite Face Height (AT)</t>
  </si>
  <si>
    <t>Length base Chapel to Diagonal</t>
  </si>
  <si>
    <t>Kx (Vertex 13)</t>
  </si>
  <si>
    <t>Ky</t>
  </si>
  <si>
    <t>Kz</t>
  </si>
  <si>
    <t>Kite Face Width (PQ)</t>
  </si>
  <si>
    <t>Angle Horiz to Top Edge (radians)</t>
  </si>
  <si>
    <t>Kite Top Edge length</t>
  </si>
  <si>
    <t>Length sloping lower Side Chapel</t>
  </si>
  <si>
    <t>Lx (Vertex 14)</t>
  </si>
  <si>
    <t>Ly</t>
  </si>
  <si>
    <t>Lz</t>
  </si>
  <si>
    <t>Chesta Triangle &amp; Kite Surface Area</t>
  </si>
  <si>
    <t>Base Length of Chapel</t>
  </si>
  <si>
    <t>Chestahedron Volume</t>
  </si>
  <si>
    <t>Length top Edges Chapel</t>
  </si>
  <si>
    <t>Mx (Vertex 15)</t>
  </si>
  <si>
    <t>My</t>
  </si>
  <si>
    <t>Mz</t>
  </si>
  <si>
    <t>Chestahedron Dual Volume</t>
  </si>
  <si>
    <t>Central Height of Chapel</t>
  </si>
  <si>
    <t>Radius of Sphere surrounding Chesta</t>
  </si>
  <si>
    <t>Length of Horiz Diagonal JK</t>
  </si>
  <si>
    <t>Nx (Vertex 16)</t>
  </si>
  <si>
    <t>Ny</t>
  </si>
  <si>
    <t>Nz</t>
  </si>
  <si>
    <t>Height of Triangle PQR (Py)</t>
  </si>
  <si>
    <t>Y-Coord for Chapel Apices</t>
  </si>
  <si>
    <t xml:space="preserve">Kite </t>
  </si>
  <si>
    <t>Y-Coord for Chapel Horizontal diagonal</t>
  </si>
  <si>
    <t>Ox (Vertex 17)</t>
  </si>
  <si>
    <t>Oy</t>
  </si>
  <si>
    <t>Oz</t>
  </si>
  <si>
    <t>Surface Area of Chapel Face</t>
  </si>
  <si>
    <t>Solid Angle (degrees)</t>
  </si>
  <si>
    <t>T'x (Vertex 18)</t>
  </si>
  <si>
    <t>T'y</t>
  </si>
  <si>
    <t>T'z</t>
  </si>
  <si>
    <t>Diamond Determinations</t>
  </si>
  <si>
    <t>Length of Bottom Sides</t>
  </si>
  <si>
    <t xml:space="preserve">Volume of Solid </t>
  </si>
  <si>
    <t>Length of Upper Sides</t>
  </si>
  <si>
    <t>Given Length Triangle Base = 0.5</t>
  </si>
  <si>
    <t>Length of Top Edge</t>
  </si>
  <si>
    <t>Length Horiz Diagonal</t>
  </si>
  <si>
    <t>Height of Diamond</t>
  </si>
  <si>
    <t>House Determination</t>
  </si>
  <si>
    <t>Length of Bottom Base</t>
  </si>
  <si>
    <t>Length of Side Edge</t>
  </si>
  <si>
    <t>Length upper sloping Edges</t>
  </si>
  <si>
    <t>Length base to Apex (Height)</t>
  </si>
  <si>
    <t>Surface Area of House Face</t>
  </si>
  <si>
    <t>Solid Angle (in degrees)</t>
  </si>
  <si>
    <t>Degree at roof in House plane</t>
  </si>
  <si>
    <t>Scaling Factor</t>
  </si>
  <si>
    <t>Quarter Scale Coordinates</t>
  </si>
  <si>
    <r>
      <t>Dihedral Angle T</t>
    </r>
    <r>
      <rPr>
        <b/>
        <u/>
        <sz val="10"/>
        <rFont val="Arial"/>
        <family val="2"/>
      </rPr>
      <t>heta</t>
    </r>
    <r>
      <rPr>
        <sz val="10"/>
        <rFont val="Arial"/>
      </rPr>
      <t xml:space="preserve"> is the</t>
    </r>
  </si>
  <si>
    <t>Height at Apex T'</t>
  </si>
  <si>
    <t>Regular Polyhedra and new Chester Forms</t>
  </si>
  <si>
    <t>Shape</t>
  </si>
  <si>
    <t>Surface Area</t>
  </si>
  <si>
    <t>Volume</t>
  </si>
  <si>
    <t>Ratio SA / Volume</t>
  </si>
  <si>
    <t>Tetrahedron s=1</t>
  </si>
  <si>
    <t>Dekatriahedron s=0.5</t>
  </si>
  <si>
    <t xml:space="preserve">Dual of Dekatriahedron </t>
  </si>
  <si>
    <t>Chestahedron s=1</t>
  </si>
  <si>
    <t>Octahedron s=1</t>
  </si>
  <si>
    <t xml:space="preserve"> Cube s=1</t>
  </si>
  <si>
    <t>Icosahedron s=1</t>
  </si>
  <si>
    <t>Sphere radius =1</t>
  </si>
  <si>
    <t>Dodecahedron s=1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</si>
</sst>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000000"/>
  </numFmts>
  <fonts count="12">
    <font>
      <sz val="10"/>
      <name val="Arial"/>
    </font>
    <font>
      <sz val="8"/>
      <name val="Arial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u/>
      <sz val="10"/>
      <name val="Arial"/>
    </font>
    <font>
      <b/>
      <u/>
      <sz val="12"/>
      <name val="Arial"/>
      <family val="2"/>
    </font>
    <font>
      <b/>
      <u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10"/>
      </left>
      <right style="thick">
        <color indexed="10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10"/>
      </left>
      <right style="thick">
        <color indexed="10"/>
      </right>
      <top/>
      <bottom style="thick">
        <color indexed="10"/>
      </bottom>
      <diagonal/>
    </border>
  </borders>
  <cellStyleXfs count="1">
    <xf numFmtId="0" fontId="0" fillId="0" borderId="0"/>
  </cellStyleXfs>
  <cellXfs count="59">
    <xf numFmtId="0" fontId="0" fillId="0" borderId="0" xfId="0"/>
    <xf numFmtId="164" fontId="0" fillId="0" borderId="0" xfId="0" applyNumberForma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1" xfId="0" applyBorder="1"/>
    <xf numFmtId="0" fontId="4" fillId="0" borderId="0" xfId="0" applyFont="1"/>
    <xf numFmtId="0" fontId="0" fillId="0" borderId="0" xfId="0" applyFill="1" applyBorder="1"/>
    <xf numFmtId="164" fontId="0" fillId="0" borderId="2" xfId="0" applyNumberFormat="1" applyBorder="1"/>
    <xf numFmtId="0" fontId="3" fillId="0" borderId="3" xfId="0" applyFont="1" applyBorder="1"/>
    <xf numFmtId="164" fontId="3" fillId="0" borderId="4" xfId="0" applyNumberFormat="1" applyFont="1" applyBorder="1" applyAlignment="1">
      <alignment horizontal="center"/>
    </xf>
    <xf numFmtId="0" fontId="0" fillId="0" borderId="0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7" xfId="0" applyNumberFormat="1" applyBorder="1"/>
    <xf numFmtId="0" fontId="0" fillId="0" borderId="4" xfId="0" applyBorder="1" applyAlignment="1">
      <alignment horizontal="center"/>
    </xf>
    <xf numFmtId="0" fontId="5" fillId="0" borderId="0" xfId="0" applyFont="1"/>
    <xf numFmtId="0" fontId="6" fillId="0" borderId="0" xfId="0" applyFont="1"/>
    <xf numFmtId="164" fontId="0" fillId="0" borderId="0" xfId="0" applyNumberFormat="1" applyBorder="1"/>
    <xf numFmtId="164" fontId="3" fillId="0" borderId="0" xfId="0" applyNumberFormat="1" applyFont="1" applyBorder="1"/>
    <xf numFmtId="0" fontId="3" fillId="0" borderId="0" xfId="0" applyFont="1" applyBorder="1"/>
    <xf numFmtId="164" fontId="3" fillId="0" borderId="0" xfId="0" applyNumberFormat="1" applyFont="1" applyFill="1" applyBorder="1"/>
    <xf numFmtId="164" fontId="0" fillId="0" borderId="0" xfId="0" applyNumberFormat="1" applyAlignment="1">
      <alignment horizontal="center"/>
    </xf>
    <xf numFmtId="0" fontId="7" fillId="0" borderId="0" xfId="0" applyFont="1"/>
    <xf numFmtId="164" fontId="6" fillId="0" borderId="6" xfId="0" applyNumberFormat="1" applyFont="1" applyFill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6" xfId="0" applyNumberForma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0" fillId="0" borderId="9" xfId="0" applyNumberFormat="1" applyBorder="1"/>
    <xf numFmtId="164" fontId="4" fillId="2" borderId="10" xfId="0" applyNumberFormat="1" applyFont="1" applyFill="1" applyBorder="1"/>
    <xf numFmtId="0" fontId="8" fillId="0" borderId="3" xfId="0" applyFont="1" applyBorder="1"/>
    <xf numFmtId="0" fontId="0" fillId="0" borderId="0" xfId="0" applyAlignment="1">
      <alignment horizontal="right"/>
    </xf>
    <xf numFmtId="0" fontId="3" fillId="0" borderId="0" xfId="0" applyFont="1" applyFill="1" applyBorder="1"/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164" fontId="0" fillId="0" borderId="12" xfId="0" applyNumberFormat="1" applyBorder="1"/>
    <xf numFmtId="0" fontId="0" fillId="0" borderId="12" xfId="0" applyBorder="1"/>
    <xf numFmtId="0" fontId="9" fillId="0" borderId="0" xfId="0" applyFont="1"/>
    <xf numFmtId="0" fontId="10" fillId="0" borderId="0" xfId="0" applyFont="1"/>
    <xf numFmtId="164" fontId="9" fillId="0" borderId="0" xfId="0" applyNumberFormat="1" applyFont="1"/>
    <xf numFmtId="164" fontId="7" fillId="0" borderId="0" xfId="0" applyNumberFormat="1" applyFont="1"/>
    <xf numFmtId="164" fontId="0" fillId="0" borderId="0" xfId="0" applyNumberFormat="1" applyFill="1" applyBorder="1"/>
    <xf numFmtId="0" fontId="4" fillId="0" borderId="3" xfId="0" applyFont="1" applyBorder="1"/>
    <xf numFmtId="0" fontId="5" fillId="0" borderId="0" xfId="0" applyFont="1" applyFill="1" applyBorder="1"/>
    <xf numFmtId="0" fontId="5" fillId="0" borderId="0" xfId="0" applyFont="1" applyBorder="1"/>
    <xf numFmtId="0" fontId="6" fillId="0" borderId="0" xfId="0" applyFont="1" applyFill="1" applyBorder="1"/>
    <xf numFmtId="0" fontId="3" fillId="0" borderId="0" xfId="0" applyFont="1" applyAlignment="1">
      <alignment horizontal="center"/>
    </xf>
    <xf numFmtId="0" fontId="8" fillId="0" borderId="0" xfId="0" applyFont="1"/>
    <xf numFmtId="164" fontId="3" fillId="0" borderId="8" xfId="0" applyNumberFormat="1" applyFont="1" applyBorder="1" applyAlignment="1">
      <alignment horizontal="center"/>
    </xf>
    <xf numFmtId="164" fontId="0" fillId="0" borderId="14" xfId="0" applyNumberFormat="1" applyBorder="1"/>
    <xf numFmtId="164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7" xfId="0" applyNumberFormat="1" applyBorder="1"/>
    <xf numFmtId="164" fontId="4" fillId="0" borderId="0" xfId="0" applyNumberFormat="1" applyFont="1" applyFill="1" applyBorder="1"/>
    <xf numFmtId="0" fontId="6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Surface Areas and Volumes of Various Polyhedra</a:t>
            </a:r>
          </a:p>
        </c:rich>
      </c:tx>
      <c:layout>
        <c:manualLayout>
          <c:xMode val="edge"/>
          <c:yMode val="edge"/>
          <c:x val="0.14570568249520957"/>
          <c:y val="7.43245607812536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490865314406185E-2"/>
          <c:y val="0.16666703324498797"/>
          <c:w val="0.87576752702586325"/>
          <c:h val="0.69144296224609869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'Ratios SA-Vol'!$A$5:$A$13</c:f>
              <c:strCache>
                <c:ptCount val="9"/>
                <c:pt idx="0">
                  <c:v>Tetrahedron s=1</c:v>
                </c:pt>
                <c:pt idx="1">
                  <c:v>Dekatriahedron s=0.5</c:v>
                </c:pt>
                <c:pt idx="2">
                  <c:v>Dual of Dekatriahedron </c:v>
                </c:pt>
                <c:pt idx="3">
                  <c:v>Chestahedron s=1</c:v>
                </c:pt>
                <c:pt idx="4">
                  <c:v>Octahedron s=1</c:v>
                </c:pt>
                <c:pt idx="5">
                  <c:v> Cube s=1</c:v>
                </c:pt>
                <c:pt idx="6">
                  <c:v>Icosahedron s=1</c:v>
                </c:pt>
                <c:pt idx="7">
                  <c:v>Sphere radius =1</c:v>
                </c:pt>
                <c:pt idx="8">
                  <c:v>Dodecahedron s=1</c:v>
                </c:pt>
              </c:strCache>
            </c:strRef>
          </c:xVal>
          <c:yVal>
            <c:numRef>
              <c:f>'Ratios SA-Vol'!$B$5:$B$13</c:f>
              <c:numCache>
                <c:formatCode>General</c:formatCode>
                <c:ptCount val="9"/>
                <c:pt idx="0">
                  <c:v>1.7320500000000001</c:v>
                </c:pt>
                <c:pt idx="1">
                  <c:v>2.0551059999999999</c:v>
                </c:pt>
                <c:pt idx="2">
                  <c:v>2.1366070000000001</c:v>
                </c:pt>
                <c:pt idx="3">
                  <c:v>3.031091</c:v>
                </c:pt>
                <c:pt idx="4">
                  <c:v>3.4641000000000002</c:v>
                </c:pt>
                <c:pt idx="5">
                  <c:v>6</c:v>
                </c:pt>
                <c:pt idx="6">
                  <c:v>8.6602499999999996</c:v>
                </c:pt>
                <c:pt idx="7">
                  <c:v>12.57</c:v>
                </c:pt>
                <c:pt idx="8">
                  <c:v>20.64573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898-43A1-9322-C030CAB125F5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strRef>
              <c:f>'Ratios SA-Vol'!$A$5:$A$13</c:f>
              <c:strCache>
                <c:ptCount val="9"/>
                <c:pt idx="0">
                  <c:v>Tetrahedron s=1</c:v>
                </c:pt>
                <c:pt idx="1">
                  <c:v>Dekatriahedron s=0.5</c:v>
                </c:pt>
                <c:pt idx="2">
                  <c:v>Dual of Dekatriahedron </c:v>
                </c:pt>
                <c:pt idx="3">
                  <c:v>Chestahedron s=1</c:v>
                </c:pt>
                <c:pt idx="4">
                  <c:v>Octahedron s=1</c:v>
                </c:pt>
                <c:pt idx="5">
                  <c:v> Cube s=1</c:v>
                </c:pt>
                <c:pt idx="6">
                  <c:v>Icosahedron s=1</c:v>
                </c:pt>
                <c:pt idx="7">
                  <c:v>Sphere radius =1</c:v>
                </c:pt>
                <c:pt idx="8">
                  <c:v>Dodecahedron s=1</c:v>
                </c:pt>
              </c:strCache>
            </c:strRef>
          </c:xVal>
          <c:yVal>
            <c:numRef>
              <c:f>'Ratios SA-Vol'!$C$5:$C$13</c:f>
              <c:numCache>
                <c:formatCode>General</c:formatCode>
                <c:ptCount val="9"/>
                <c:pt idx="0">
                  <c:v>0.11785</c:v>
                </c:pt>
                <c:pt idx="1">
                  <c:v>0.23810200000000001</c:v>
                </c:pt>
                <c:pt idx="2">
                  <c:v>0.25964700000000002</c:v>
                </c:pt>
                <c:pt idx="3">
                  <c:v>0.35171999999999998</c:v>
                </c:pt>
                <c:pt idx="4">
                  <c:v>0.47139999999999999</c:v>
                </c:pt>
                <c:pt idx="5">
                  <c:v>1</c:v>
                </c:pt>
                <c:pt idx="6">
                  <c:v>2.1817000000000002</c:v>
                </c:pt>
                <c:pt idx="7">
                  <c:v>4.1890000000000001</c:v>
                </c:pt>
                <c:pt idx="8">
                  <c:v>7.6631200000000002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898-43A1-9322-C030CAB125F5}"/>
            </c:ext>
          </c:extLst>
        </c:ser>
        <c:ser>
          <c:idx val="2"/>
          <c:order val="2"/>
          <c:spPr>
            <a:ln w="25400">
              <a:solidFill>
                <a:srgbClr val="339966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xVal>
            <c:strRef>
              <c:f>'Ratios SA-Vol'!$A$5:$A$13</c:f>
              <c:strCache>
                <c:ptCount val="9"/>
                <c:pt idx="0">
                  <c:v>Tetrahedron s=1</c:v>
                </c:pt>
                <c:pt idx="1">
                  <c:v>Dekatriahedron s=0.5</c:v>
                </c:pt>
                <c:pt idx="2">
                  <c:v>Dual of Dekatriahedron </c:v>
                </c:pt>
                <c:pt idx="3">
                  <c:v>Chestahedron s=1</c:v>
                </c:pt>
                <c:pt idx="4">
                  <c:v>Octahedron s=1</c:v>
                </c:pt>
                <c:pt idx="5">
                  <c:v> Cube s=1</c:v>
                </c:pt>
                <c:pt idx="6">
                  <c:v>Icosahedron s=1</c:v>
                </c:pt>
                <c:pt idx="7">
                  <c:v>Sphere radius =1</c:v>
                </c:pt>
                <c:pt idx="8">
                  <c:v>Dodecahedron s=1</c:v>
                </c:pt>
              </c:strCache>
            </c:strRef>
          </c:xVal>
          <c:yVal>
            <c:numRef>
              <c:f>'Ratios SA-Vol'!$D$5:$D$13</c:f>
              <c:numCache>
                <c:formatCode>General</c:formatCode>
                <c:ptCount val="9"/>
                <c:pt idx="0">
                  <c:v>14.697072549851507</c:v>
                </c:pt>
                <c:pt idx="1">
                  <c:v>8.6312000739178991</c:v>
                </c:pt>
                <c:pt idx="2">
                  <c:v>8.2288915335051058</c:v>
                </c:pt>
                <c:pt idx="3">
                  <c:v>8.6179091322643018</c:v>
                </c:pt>
                <c:pt idx="4">
                  <c:v>7.3485362749257535</c:v>
                </c:pt>
                <c:pt idx="5">
                  <c:v>6</c:v>
                </c:pt>
                <c:pt idx="6">
                  <c:v>3.9694962643809868</c:v>
                </c:pt>
                <c:pt idx="7">
                  <c:v>3.0007161613750299</c:v>
                </c:pt>
                <c:pt idx="8">
                  <c:v>2.6941676497301361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898-43A1-9322-C030CAB12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9303215"/>
        <c:axId val="1"/>
      </c:scatterChart>
      <c:valAx>
        <c:axId val="44930321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Type of Polyhedron</a:t>
                </a:r>
              </a:p>
            </c:rich>
          </c:tx>
          <c:layout>
            <c:manualLayout>
              <c:xMode val="edge"/>
              <c:yMode val="edge"/>
              <c:x val="0.44325185578796517"/>
              <c:y val="0.918921047031283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SA or Volume or Ratio SA/Vol</a:t>
                </a:r>
              </a:p>
            </c:rich>
          </c:tx>
          <c:layout>
            <c:manualLayout>
              <c:xMode val="edge"/>
              <c:yMode val="edge"/>
              <c:x val="2.4539877300613498E-2"/>
              <c:y val="0.326577285947364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9303215"/>
        <c:crosses val="autoZero"/>
        <c:crossBetween val="midCat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5240504539629"/>
          <c:y val="6.203481461646855E-2"/>
          <c:w val="0.84381109339861127"/>
          <c:h val="0.8263037306913610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'Ratios SA-Vol'!$C$5:$C$9</c:f>
              <c:numCache>
                <c:formatCode>General</c:formatCode>
                <c:ptCount val="5"/>
                <c:pt idx="0">
                  <c:v>0.11785</c:v>
                </c:pt>
                <c:pt idx="1">
                  <c:v>0.23810200000000001</c:v>
                </c:pt>
                <c:pt idx="2">
                  <c:v>0.25964700000000002</c:v>
                </c:pt>
                <c:pt idx="3">
                  <c:v>0.35171999999999998</c:v>
                </c:pt>
                <c:pt idx="4">
                  <c:v>0.47139999999999999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BA-4584-A9ED-A1F9B3794E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413359"/>
        <c:axId val="1"/>
      </c:lineChart>
      <c:catAx>
        <c:axId val="4494133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9413359"/>
        <c:crosses val="autoZero"/>
        <c:crossBetween val="between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084745190969729E-2"/>
          <c:y val="7.0217917675544791E-2"/>
          <c:w val="0.88601185707418684"/>
          <c:h val="0.801452784503632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8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'Ratios SA-Vol'!$B$5:$B$13</c:f>
              <c:numCache>
                <c:formatCode>General</c:formatCode>
                <c:ptCount val="9"/>
                <c:pt idx="0">
                  <c:v>1.7320500000000001</c:v>
                </c:pt>
                <c:pt idx="1">
                  <c:v>2.0551059999999999</c:v>
                </c:pt>
                <c:pt idx="2">
                  <c:v>2.1366070000000001</c:v>
                </c:pt>
                <c:pt idx="3">
                  <c:v>3.031091</c:v>
                </c:pt>
                <c:pt idx="4">
                  <c:v>3.4641000000000002</c:v>
                </c:pt>
                <c:pt idx="5">
                  <c:v>6</c:v>
                </c:pt>
                <c:pt idx="6">
                  <c:v>8.6602499999999996</c:v>
                </c:pt>
                <c:pt idx="7">
                  <c:v>12.57</c:v>
                </c:pt>
                <c:pt idx="8">
                  <c:v>20.64573</c:v>
                </c:pt>
              </c:numCache>
            </c:numRef>
          </c:xVal>
          <c:yVal>
            <c:numRef>
              <c:f>'Ratios SA-Vol'!$C$5:$C$13</c:f>
              <c:numCache>
                <c:formatCode>General</c:formatCode>
                <c:ptCount val="9"/>
                <c:pt idx="0">
                  <c:v>0.11785</c:v>
                </c:pt>
                <c:pt idx="1">
                  <c:v>0.23810200000000001</c:v>
                </c:pt>
                <c:pt idx="2">
                  <c:v>0.25964700000000002</c:v>
                </c:pt>
                <c:pt idx="3">
                  <c:v>0.35171999999999998</c:v>
                </c:pt>
                <c:pt idx="4">
                  <c:v>0.47139999999999999</c:v>
                </c:pt>
                <c:pt idx="5">
                  <c:v>1</c:v>
                </c:pt>
                <c:pt idx="6">
                  <c:v>2.1817000000000002</c:v>
                </c:pt>
                <c:pt idx="7">
                  <c:v>4.1890000000000001</c:v>
                </c:pt>
                <c:pt idx="8">
                  <c:v>7.6631200000000002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BEC-4035-92EE-05E0B880B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0017823"/>
        <c:axId val="1"/>
      </c:scatterChart>
      <c:valAx>
        <c:axId val="4500178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0017823"/>
        <c:crosses val="autoZero"/>
        <c:crossBetween val="midCat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Comparison of Surface Area to Volumes of Smaller Polyhedra</a:t>
            </a:r>
          </a:p>
        </c:rich>
      </c:tx>
      <c:layout>
        <c:manualLayout>
          <c:xMode val="edge"/>
          <c:yMode val="edge"/>
          <c:x val="0.14188052134508827"/>
          <c:y val="5.28967254408060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6772397122725"/>
          <c:y val="0.17380374021437664"/>
          <c:w val="0.83931764042074053"/>
          <c:h val="0.65995043385748808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'Ratios SA-Vol'!$B$5:$B$9</c:f>
              <c:numCache>
                <c:formatCode>General</c:formatCode>
                <c:ptCount val="5"/>
                <c:pt idx="0">
                  <c:v>1.7320500000000001</c:v>
                </c:pt>
                <c:pt idx="1">
                  <c:v>2.0551059999999999</c:v>
                </c:pt>
                <c:pt idx="2">
                  <c:v>2.1366070000000001</c:v>
                </c:pt>
                <c:pt idx="3">
                  <c:v>3.031091</c:v>
                </c:pt>
                <c:pt idx="4">
                  <c:v>3.4641000000000002</c:v>
                </c:pt>
              </c:numCache>
            </c:numRef>
          </c:xVal>
          <c:yVal>
            <c:numRef>
              <c:f>'Ratios SA-Vol'!$C$5:$C$9</c:f>
              <c:numCache>
                <c:formatCode>General</c:formatCode>
                <c:ptCount val="5"/>
                <c:pt idx="0">
                  <c:v>0.11785</c:v>
                </c:pt>
                <c:pt idx="1">
                  <c:v>0.23810200000000001</c:v>
                </c:pt>
                <c:pt idx="2">
                  <c:v>0.25964700000000002</c:v>
                </c:pt>
                <c:pt idx="3">
                  <c:v>0.35171999999999998</c:v>
                </c:pt>
                <c:pt idx="4">
                  <c:v>0.47139999999999999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416-4D97-BB28-D7AA7FA47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0021567"/>
        <c:axId val="1"/>
      </c:scatterChart>
      <c:valAx>
        <c:axId val="450021567"/>
        <c:scaling>
          <c:orientation val="minMax"/>
          <c:min val="1.5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Surface Area</a:t>
                </a:r>
              </a:p>
            </c:rich>
          </c:tx>
          <c:layout>
            <c:manualLayout>
              <c:xMode val="edge"/>
              <c:yMode val="edge"/>
              <c:x val="0.45982977768804539"/>
              <c:y val="0.901764281983643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Volume</a:t>
                </a:r>
              </a:p>
            </c:rich>
          </c:tx>
          <c:layout>
            <c:manualLayout>
              <c:xMode val="edge"/>
              <c:yMode val="edge"/>
              <c:x val="2.735042735042735E-2"/>
              <c:y val="0.433249899178219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0021567"/>
        <c:crosses val="autoZero"/>
        <c:crossBetween val="midCat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13</xdr:row>
      <xdr:rowOff>76200</xdr:rowOff>
    </xdr:from>
    <xdr:to>
      <xdr:col>16</xdr:col>
      <xdr:colOff>200025</xdr:colOff>
      <xdr:row>39</xdr:row>
      <xdr:rowOff>95250</xdr:rowOff>
    </xdr:to>
    <xdr:graphicFrame macro="">
      <xdr:nvGraphicFramePr>
        <xdr:cNvPr id="1065" name="Chart 4">
          <a:extLst>
            <a:ext uri="{FF2B5EF4-FFF2-40B4-BE49-F238E27FC236}">
              <a16:creationId xmlns:a16="http://schemas.microsoft.com/office/drawing/2014/main" id="{6B507482-9BB3-4C88-8E60-5A2D245DB2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171450</xdr:colOff>
      <xdr:row>40</xdr:row>
      <xdr:rowOff>19050</xdr:rowOff>
    </xdr:from>
    <xdr:to>
      <xdr:col>16</xdr:col>
      <xdr:colOff>200025</xdr:colOff>
      <xdr:row>61</xdr:row>
      <xdr:rowOff>85725</xdr:rowOff>
    </xdr:to>
    <xdr:graphicFrame macro="">
      <xdr:nvGraphicFramePr>
        <xdr:cNvPr id="1066" name="Chart 6">
          <a:extLst>
            <a:ext uri="{FF2B5EF4-FFF2-40B4-BE49-F238E27FC236}">
              <a16:creationId xmlns:a16="http://schemas.microsoft.com/office/drawing/2014/main" id="{C9E8AD88-1223-4349-8DF6-192287650D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13</xdr:row>
      <xdr:rowOff>76200</xdr:rowOff>
    </xdr:from>
    <xdr:to>
      <xdr:col>5</xdr:col>
      <xdr:colOff>571500</xdr:colOff>
      <xdr:row>37</xdr:row>
      <xdr:rowOff>123825</xdr:rowOff>
    </xdr:to>
    <xdr:graphicFrame macro="">
      <xdr:nvGraphicFramePr>
        <xdr:cNvPr id="1067" name="Chart 7">
          <a:extLst>
            <a:ext uri="{FF2B5EF4-FFF2-40B4-BE49-F238E27FC236}">
              <a16:creationId xmlns:a16="http://schemas.microsoft.com/office/drawing/2014/main" id="{6505A7F4-D124-427B-913A-564BB37332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38</xdr:row>
      <xdr:rowOff>38100</xdr:rowOff>
    </xdr:from>
    <xdr:to>
      <xdr:col>6</xdr:col>
      <xdr:colOff>28575</xdr:colOff>
      <xdr:row>61</xdr:row>
      <xdr:rowOff>95250</xdr:rowOff>
    </xdr:to>
    <xdr:graphicFrame macro="">
      <xdr:nvGraphicFramePr>
        <xdr:cNvPr id="1068" name="Chart 8">
          <a:extLst>
            <a:ext uri="{FF2B5EF4-FFF2-40B4-BE49-F238E27FC236}">
              <a16:creationId xmlns:a16="http://schemas.microsoft.com/office/drawing/2014/main" id="{DB47AA1D-58D2-4683-9773-4D0565F4C7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0.44092</cdr:x>
      <cdr:y>0.16422</cdr:y>
    </cdr:from>
    <cdr:to>
      <cdr:x>0.66666</cdr:x>
      <cdr:y>0.48705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45613" y="699238"/>
          <a:ext cx="1404059" cy="1368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1.Tetrahedron s=1</a:t>
          </a:r>
        </a:p>
        <a:p xmlns:a="http://schemas.openxmlformats.org/drawingml/2006/main"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2.Dekatriahedron s=0.5</a:t>
          </a:r>
        </a:p>
        <a:p xmlns:a="http://schemas.openxmlformats.org/drawingml/2006/main"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3.Dual of Dekatriahedron</a:t>
          </a:r>
        </a:p>
        <a:p xmlns:a="http://schemas.openxmlformats.org/drawingml/2006/main"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 Chestahedron s=1</a:t>
          </a:r>
        </a:p>
        <a:p xmlns:a="http://schemas.openxmlformats.org/drawingml/2006/main"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 Octahedron s=1</a:t>
          </a:r>
        </a:p>
        <a:p xmlns:a="http://schemas.openxmlformats.org/drawingml/2006/main"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6. Cube s=1</a:t>
          </a:r>
        </a:p>
        <a:p xmlns:a="http://schemas.openxmlformats.org/drawingml/2006/main"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7. Icosahedron s=1</a:t>
          </a:r>
        </a:p>
        <a:p xmlns:a="http://schemas.openxmlformats.org/drawingml/2006/main"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8. Sphere radius =1</a:t>
          </a:r>
        </a:p>
        <a:p xmlns:a="http://schemas.openxmlformats.org/drawingml/2006/main"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9. Dodecahedron s=1</a:t>
          </a:r>
        </a:p>
        <a:p xmlns:a="http://schemas.openxmlformats.org/drawingml/2006/main"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n-US"/>
        </a:p>
      </cdr:txBody>
    </cdr:sp>
  </cdr:relSizeAnchor>
  <cdr:relSizeAnchor xmlns:cdr="http://schemas.openxmlformats.org/drawingml/2006/chartDrawing">
    <cdr:from>
      <cdr:x>0.21272</cdr:x>
      <cdr:y>0.47801</cdr:y>
    </cdr:from>
    <cdr:to>
      <cdr:x>0.47588</cdr:x>
      <cdr:y>0.52224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26243" y="2029262"/>
          <a:ext cx="1636792" cy="1874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50" b="1" i="0" u="none" strike="noStrike" baseline="0">
              <a:solidFill>
                <a:srgbClr val="000000"/>
              </a:solidFill>
              <a:latin typeface="Arial"/>
              <a:cs typeface="Arial"/>
            </a:rPr>
            <a:t>Ratio SA / Volume</a:t>
          </a:r>
          <a:endParaRPr lang="en-US"/>
        </a:p>
      </cdr:txBody>
    </cdr:sp>
  </cdr:relSizeAnchor>
  <cdr:relSizeAnchor xmlns:cdr="http://schemas.openxmlformats.org/drawingml/2006/chartDrawing">
    <cdr:from>
      <cdr:x>0.76636</cdr:x>
      <cdr:y>0.24267</cdr:y>
    </cdr:from>
    <cdr:to>
      <cdr:x>0.95862</cdr:x>
      <cdr:y>0.32551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69785" y="1031744"/>
          <a:ext cx="1195823" cy="3511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50" b="1" i="0" u="none" strike="noStrike" baseline="0">
              <a:solidFill>
                <a:srgbClr val="000000"/>
              </a:solidFill>
              <a:latin typeface="Arial"/>
              <a:cs typeface="Arial"/>
            </a:rPr>
            <a:t> Surface Area (Blue)</a:t>
          </a:r>
        </a:p>
        <a:p xmlns:a="http://schemas.openxmlformats.org/drawingml/2006/main">
          <a:pPr algn="l" rtl="0">
            <a:defRPr sz="1000"/>
          </a:pPr>
          <a:endParaRPr lang="en-US"/>
        </a:p>
      </cdr:txBody>
    </cdr:sp>
  </cdr:relSizeAnchor>
  <cdr:relSizeAnchor xmlns:cdr="http://schemas.openxmlformats.org/drawingml/2006/chartDrawing">
    <cdr:from>
      <cdr:x>0.80919</cdr:x>
      <cdr:y>0.57454</cdr:y>
    </cdr:from>
    <cdr:to>
      <cdr:x>0.99234</cdr:x>
      <cdr:y>0.61877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36204" y="2438420"/>
          <a:ext cx="1139171" cy="187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50" b="1" i="0" u="none" strike="noStrike" baseline="0">
              <a:solidFill>
                <a:srgbClr val="000000"/>
              </a:solidFill>
              <a:latin typeface="Arial"/>
              <a:cs typeface="Arial"/>
            </a:rPr>
            <a:t> Volume (red)</a:t>
          </a:r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0.40117</cdr:x>
      <cdr:y>0.06187</cdr:y>
    </cdr:from>
    <cdr:to>
      <cdr:x>0.62606</cdr:x>
      <cdr:y>0.11722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13074" y="241257"/>
          <a:ext cx="1126741" cy="2129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50" b="1" i="0" u="none" strike="noStrike" baseline="0">
              <a:solidFill>
                <a:srgbClr val="000000"/>
              </a:solidFill>
              <a:latin typeface="Arial"/>
              <a:cs typeface="Arial"/>
            </a:rPr>
            <a:t> Volume of Solids</a:t>
          </a:r>
          <a:endParaRPr lang="en-US"/>
        </a:p>
      </cdr:txBody>
    </cdr:sp>
  </cdr:relSizeAnchor>
  <cdr:relSizeAnchor xmlns:cdr="http://schemas.openxmlformats.org/drawingml/2006/chartDrawing">
    <cdr:from>
      <cdr:x>0.14611</cdr:x>
      <cdr:y>0.12941</cdr:y>
    </cdr:from>
    <cdr:to>
      <cdr:x>0.49289</cdr:x>
      <cdr:y>0.40638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5200" y="501142"/>
          <a:ext cx="1737417" cy="10658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75" b="1" i="0" u="none" strike="noStrike" baseline="0">
              <a:solidFill>
                <a:srgbClr val="000000"/>
              </a:solidFill>
              <a:latin typeface="Arial"/>
              <a:cs typeface="Arial"/>
            </a:rPr>
            <a:t>1.Tetrahedron s=1</a:t>
          </a:r>
        </a:p>
        <a:p xmlns:a="http://schemas.openxmlformats.org/drawingml/2006/main">
          <a:pPr algn="l" rtl="0">
            <a:defRPr sz="1000"/>
          </a:pPr>
          <a:r>
            <a:rPr lang="en-US" sz="975" b="1" i="0" u="none" strike="noStrike" baseline="0">
              <a:solidFill>
                <a:srgbClr val="000000"/>
              </a:solidFill>
              <a:latin typeface="Arial"/>
              <a:cs typeface="Arial"/>
            </a:rPr>
            <a:t>2.Dekatriahedron s=0.5</a:t>
          </a:r>
        </a:p>
        <a:p xmlns:a="http://schemas.openxmlformats.org/drawingml/2006/main">
          <a:pPr algn="l" rtl="0">
            <a:defRPr sz="1000"/>
          </a:pPr>
          <a:r>
            <a:rPr lang="en-US" sz="975" b="1" i="0" u="none" strike="noStrike" baseline="0">
              <a:solidFill>
                <a:srgbClr val="000000"/>
              </a:solidFill>
              <a:latin typeface="Arial"/>
              <a:cs typeface="Arial"/>
            </a:rPr>
            <a:t>3.Dual of Dekatriahedron</a:t>
          </a:r>
        </a:p>
        <a:p xmlns:a="http://schemas.openxmlformats.org/drawingml/2006/main">
          <a:pPr algn="l" rtl="0">
            <a:defRPr sz="1000"/>
          </a:pPr>
          <a:r>
            <a:rPr lang="en-US" sz="975" b="1" i="0" u="none" strike="noStrike" baseline="0">
              <a:solidFill>
                <a:srgbClr val="000000"/>
              </a:solidFill>
              <a:latin typeface="Arial"/>
              <a:cs typeface="Arial"/>
            </a:rPr>
            <a:t>4. Chestahedron s=1</a:t>
          </a:r>
        </a:p>
        <a:p xmlns:a="http://schemas.openxmlformats.org/drawingml/2006/main">
          <a:pPr algn="l" rtl="0">
            <a:defRPr sz="1000"/>
          </a:pPr>
          <a:r>
            <a:rPr lang="en-US" sz="975" b="1" i="0" u="none" strike="noStrike" baseline="0">
              <a:solidFill>
                <a:srgbClr val="000000"/>
              </a:solidFill>
              <a:latin typeface="Arial"/>
              <a:cs typeface="Arial"/>
            </a:rPr>
            <a:t>5. Octahedron s=1</a:t>
          </a:r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0.4742</cdr:x>
      <cdr:y>0.79373</cdr:y>
    </cdr:from>
    <cdr:to>
      <cdr:x>0.85969</cdr:x>
      <cdr:y>0.85277</cdr:y>
    </cdr:to>
    <cdr:sp macro="" textlink="">
      <cdr:nvSpPr>
        <cdr:cNvPr id="61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22907" y="3133128"/>
          <a:ext cx="2129624" cy="2328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50" b="1" i="0" u="none" strike="noStrike" baseline="0">
              <a:solidFill>
                <a:srgbClr val="000000"/>
              </a:solidFill>
              <a:latin typeface="Arial"/>
              <a:cs typeface="Arial"/>
            </a:rPr>
            <a:t> Volume (Horizontal)</a:t>
          </a:r>
        </a:p>
        <a:p xmlns:a="http://schemas.openxmlformats.org/drawingml/2006/main">
          <a:pPr algn="l" rtl="0">
            <a:defRPr sz="1000"/>
          </a:pPr>
          <a:endParaRPr lang="en-US"/>
        </a:p>
      </cdr:txBody>
    </cdr:sp>
  </cdr:relSizeAnchor>
  <cdr:relSizeAnchor xmlns:cdr="http://schemas.openxmlformats.org/drawingml/2006/chartDrawing">
    <cdr:from>
      <cdr:x>0.08134</cdr:x>
      <cdr:y>0.16919</cdr:y>
    </cdr:from>
    <cdr:to>
      <cdr:x>0.35308</cdr:x>
      <cdr:y>0.2819</cdr:y>
    </cdr:to>
    <cdr:sp macro="" textlink="">
      <cdr:nvSpPr>
        <cdr:cNvPr id="61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2565" y="670344"/>
          <a:ext cx="1501187" cy="4444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50" b="1" i="0" u="none" strike="noStrike" baseline="0">
              <a:solidFill>
                <a:srgbClr val="000000"/>
              </a:solidFill>
              <a:latin typeface="Arial"/>
              <a:cs typeface="Arial"/>
            </a:rPr>
            <a:t> Surface Area (Vertical)</a:t>
          </a:r>
        </a:p>
        <a:p xmlns:a="http://schemas.openxmlformats.org/drawingml/2006/main">
          <a:pPr algn="l" rtl="0">
            <a:defRPr sz="1000"/>
          </a:pPr>
          <a:endParaRPr lang="en-US"/>
        </a:p>
      </cdr:txBody>
    </cdr:sp>
  </cdr:relSizeAnchor>
  <cdr:relSizeAnchor xmlns:cdr="http://schemas.openxmlformats.org/drawingml/2006/chartDrawing">
    <cdr:from>
      <cdr:x>0.66781</cdr:x>
      <cdr:y>0.33484</cdr:y>
    </cdr:from>
    <cdr:to>
      <cdr:x>0.99113</cdr:x>
      <cdr:y>0.77372</cdr:y>
    </cdr:to>
    <cdr:sp macro="" textlink="">
      <cdr:nvSpPr>
        <cdr:cNvPr id="61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92469" y="1323559"/>
          <a:ext cx="1786224" cy="17306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1.Tetrahedron s=1</a:t>
          </a:r>
        </a:p>
        <a:p xmlns:a="http://schemas.openxmlformats.org/drawingml/2006/main"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2.Dekatriahedron s=0.5</a:t>
          </a:r>
        </a:p>
        <a:p xmlns:a="http://schemas.openxmlformats.org/drawingml/2006/main"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3.Dual of Dekatriahedron</a:t>
          </a:r>
        </a:p>
        <a:p xmlns:a="http://schemas.openxmlformats.org/drawingml/2006/main"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 Chestahedron s=1</a:t>
          </a:r>
        </a:p>
        <a:p xmlns:a="http://schemas.openxmlformats.org/drawingml/2006/main"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 Octahedron s=1</a:t>
          </a:r>
        </a:p>
        <a:p xmlns:a="http://schemas.openxmlformats.org/drawingml/2006/main"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6. Cube s=1</a:t>
          </a:r>
        </a:p>
        <a:p xmlns:a="http://schemas.openxmlformats.org/drawingml/2006/main"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7. Icosahedron s=1</a:t>
          </a:r>
        </a:p>
        <a:p xmlns:a="http://schemas.openxmlformats.org/drawingml/2006/main"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8. Sphere radius =1</a:t>
          </a:r>
        </a:p>
        <a:p xmlns:a="http://schemas.openxmlformats.org/drawingml/2006/main"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9. Dodecahedron s=1</a:t>
          </a:r>
        </a:p>
        <a:p xmlns:a="http://schemas.openxmlformats.org/drawingml/2006/main"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n-US"/>
        </a:p>
      </cdr:txBody>
    </cdr:sp>
  </cdr:relSizeAnchor>
  <cdr:relSizeAnchor xmlns:cdr="http://schemas.openxmlformats.org/drawingml/2006/chartDrawing">
    <cdr:from>
      <cdr:x>0.0725</cdr:x>
      <cdr:y>0.05794</cdr:y>
    </cdr:from>
    <cdr:to>
      <cdr:x>0.86067</cdr:x>
      <cdr:y>0.18041</cdr:y>
    </cdr:to>
    <cdr:sp macro="" textlink="">
      <cdr:nvSpPr>
        <cdr:cNvPr id="61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3701" y="231661"/>
          <a:ext cx="4354259" cy="482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Comparison of Surface Area to Volumes of Polyhedra</a:t>
          </a:r>
          <a:endParaRPr 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0.60296</cdr:x>
      <cdr:y>0.45711</cdr:y>
    </cdr:from>
    <cdr:to>
      <cdr:x>0.99147</cdr:x>
      <cdr:y>0.90482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68700" y="1736039"/>
          <a:ext cx="2168500" cy="1697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sng" strike="noStrike" baseline="0">
              <a:solidFill>
                <a:srgbClr val="000000"/>
              </a:solidFill>
              <a:latin typeface="Arial"/>
              <a:cs typeface="Arial"/>
            </a:rPr>
            <a:t>Data Points from left to right</a:t>
          </a: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1.Tetrahedron s=1</a:t>
          </a:r>
        </a:p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2.Dekatriahedron s=0.5</a:t>
          </a:r>
        </a:p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3.Dual of Dekatriahedron</a:t>
          </a:r>
        </a:p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4. Chestahedron s=1</a:t>
          </a:r>
        </a:p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5. Octahedron s=1</a:t>
          </a:r>
          <a:endParaRPr lang="en-U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6"/>
  <sheetViews>
    <sheetView tabSelected="1" workbookViewId="0">
      <selection activeCell="A2" sqref="A2"/>
    </sheetView>
  </sheetViews>
  <sheetFormatPr defaultRowHeight="12.75"/>
  <cols>
    <col min="1" max="1" width="34.42578125" customWidth="1"/>
    <col min="2" max="2" width="29.42578125" customWidth="1"/>
    <col min="3" max="3" width="27.140625" customWidth="1"/>
    <col min="4" max="4" width="30.85546875" customWidth="1"/>
    <col min="5" max="5" width="28" customWidth="1"/>
    <col min="6" max="6" width="42.5703125" customWidth="1"/>
    <col min="7" max="7" width="23.42578125" customWidth="1"/>
  </cols>
  <sheetData>
    <row r="1" spans="1:9" ht="26.25" customHeight="1">
      <c r="A1" s="2" t="s">
        <v>0</v>
      </c>
      <c r="C1" s="3" t="s">
        <v>1</v>
      </c>
      <c r="D1" s="4" t="s">
        <v>2</v>
      </c>
    </row>
    <row r="2" spans="1:9" ht="12" customHeight="1">
      <c r="A2" s="2"/>
      <c r="C2" s="3"/>
      <c r="D2" s="4"/>
    </row>
    <row r="3" spans="1:9" ht="21" customHeight="1">
      <c r="A3" s="16" t="s">
        <v>3</v>
      </c>
      <c r="B3" s="17"/>
      <c r="C3" s="3"/>
      <c r="D3" s="4"/>
      <c r="E3" s="17"/>
      <c r="F3" s="17"/>
    </row>
    <row r="4" spans="1:9" ht="17.25" customHeight="1">
      <c r="A4" s="17" t="s">
        <v>4</v>
      </c>
      <c r="B4" s="17"/>
      <c r="C4" s="3"/>
      <c r="D4" s="4"/>
      <c r="E4" s="17"/>
      <c r="F4" s="17"/>
    </row>
    <row r="5" spans="1:9" ht="18" customHeight="1">
      <c r="A5" s="17" t="s">
        <v>5</v>
      </c>
      <c r="B5" s="17"/>
      <c r="C5" s="3"/>
      <c r="D5" s="4"/>
      <c r="E5" s="17"/>
      <c r="F5" s="17"/>
    </row>
    <row r="6" spans="1:9" ht="16.5" customHeight="1">
      <c r="A6" s="17" t="s">
        <v>6</v>
      </c>
      <c r="B6" s="17"/>
      <c r="C6" s="3"/>
      <c r="D6" s="4"/>
      <c r="E6" s="17"/>
      <c r="F6" s="17"/>
    </row>
    <row r="7" spans="1:9" ht="15.75" customHeight="1">
      <c r="A7" s="17" t="s">
        <v>7</v>
      </c>
      <c r="B7" s="17"/>
      <c r="C7" s="3"/>
      <c r="D7" s="4"/>
      <c r="E7" s="17"/>
      <c r="F7" s="17"/>
    </row>
    <row r="8" spans="1:9" ht="33" customHeight="1">
      <c r="C8" s="6" t="s">
        <v>8</v>
      </c>
    </row>
    <row r="9" spans="1:9" ht="13.5" thickBot="1">
      <c r="B9" s="3" t="s">
        <v>9</v>
      </c>
      <c r="C9" s="13" t="s">
        <v>10</v>
      </c>
      <c r="D9" s="15" t="s">
        <v>11</v>
      </c>
      <c r="E9" s="12" t="s">
        <v>12</v>
      </c>
      <c r="F9" s="25" t="s">
        <v>13</v>
      </c>
      <c r="G9" s="11"/>
    </row>
    <row r="10" spans="1:9" ht="13.5" thickBot="1">
      <c r="C10" s="29">
        <f>1/SQRT(3)</f>
        <v>0.57735026918962584</v>
      </c>
      <c r="D10" s="14">
        <f>-C10/2</f>
        <v>-0.28867513459481292</v>
      </c>
      <c r="E10" s="14">
        <f>D10</f>
        <v>-0.28867513459481292</v>
      </c>
      <c r="F10" s="22">
        <f>C10</f>
        <v>0.57735026918962584</v>
      </c>
      <c r="G10" s="1"/>
      <c r="H10" s="1"/>
      <c r="I10" s="1"/>
    </row>
    <row r="11" spans="1:9" ht="13.5" thickTop="1">
      <c r="A11" s="58" t="s">
        <v>14</v>
      </c>
      <c r="B11" s="3" t="s">
        <v>15</v>
      </c>
      <c r="C11" s="29"/>
      <c r="D11" s="29"/>
      <c r="E11" s="8"/>
      <c r="F11" s="26"/>
      <c r="H11" s="1"/>
      <c r="I11" s="1"/>
    </row>
    <row r="12" spans="1:9" ht="13.5" thickBot="1">
      <c r="A12" s="9" t="s">
        <v>16</v>
      </c>
      <c r="C12" s="28" t="s">
        <v>17</v>
      </c>
      <c r="D12" s="28" t="s">
        <v>18</v>
      </c>
      <c r="E12" s="10" t="s">
        <v>19</v>
      </c>
      <c r="F12" s="27" t="s">
        <v>20</v>
      </c>
      <c r="H12" s="1"/>
      <c r="I12" s="1"/>
    </row>
    <row r="13" spans="1:9" ht="18.75" thickBot="1">
      <c r="A13" s="31" t="s">
        <v>21</v>
      </c>
      <c r="B13" t="s">
        <v>22</v>
      </c>
      <c r="C13" s="29">
        <f>-(SQRT(3)/2)*((1/3)-COS(B14))</f>
        <v>-0.3616080717372181</v>
      </c>
      <c r="D13" s="29">
        <f>(SQRT(3)/2)*SIN(B14)</f>
        <v>0.86294888995802177</v>
      </c>
      <c r="E13" s="8">
        <v>0</v>
      </c>
      <c r="F13" s="22">
        <f>ABS(C13)</f>
        <v>0.3616080717372181</v>
      </c>
      <c r="G13" s="1"/>
      <c r="H13" s="1"/>
      <c r="I13" s="1"/>
    </row>
    <row r="14" spans="1:9" ht="19.5" customHeight="1" thickTop="1" thickBot="1">
      <c r="A14" s="30">
        <v>94.830926181630403</v>
      </c>
      <c r="B14" s="1">
        <f>(A14/180)*PI()</f>
        <v>1.6551118945851446</v>
      </c>
      <c r="C14" s="29"/>
      <c r="D14" s="29"/>
      <c r="E14" s="8"/>
      <c r="F14" s="26"/>
      <c r="G14" s="1"/>
      <c r="H14" s="1"/>
      <c r="I14" s="1"/>
    </row>
    <row r="15" spans="1:9" ht="14.25" thickTop="1" thickBot="1">
      <c r="A15" s="7" t="s">
        <v>23</v>
      </c>
      <c r="B15" s="1">
        <f>(A14-INT(A14))*60</f>
        <v>49.85557089782418</v>
      </c>
      <c r="C15" s="28" t="s">
        <v>24</v>
      </c>
      <c r="D15" s="28" t="s">
        <v>25</v>
      </c>
      <c r="E15" s="10" t="s">
        <v>26</v>
      </c>
      <c r="F15" s="24" t="s">
        <v>27</v>
      </c>
      <c r="G15" s="1"/>
      <c r="H15" s="1"/>
      <c r="I15" s="1"/>
    </row>
    <row r="16" spans="1:9">
      <c r="A16" s="7" t="s">
        <v>28</v>
      </c>
      <c r="B16" s="1">
        <f>(B15-INT(B15))*60</f>
        <v>51.334253869450777</v>
      </c>
      <c r="C16" s="29">
        <f>(SQRT(3)/4)*((1/3)-COS(B14))</f>
        <v>0.18080403586860905</v>
      </c>
      <c r="D16" s="29">
        <f>D13</f>
        <v>0.86294888995802177</v>
      </c>
      <c r="E16" s="8">
        <f>-(1/4)+(0.75*COS(B14))</f>
        <v>-0.31316177633793663</v>
      </c>
      <c r="F16" s="22">
        <f>1/(2*SQRT(3))</f>
        <v>0.28867513459481292</v>
      </c>
      <c r="G16" s="1"/>
      <c r="H16" s="1"/>
      <c r="I16" s="1"/>
    </row>
    <row r="17" spans="1:9">
      <c r="B17" s="1"/>
      <c r="C17" s="29"/>
      <c r="D17" s="29"/>
      <c r="E17" s="8"/>
      <c r="F17" s="1"/>
      <c r="G17" s="1"/>
      <c r="H17" s="1"/>
      <c r="I17" s="1"/>
    </row>
    <row r="18" spans="1:9" ht="13.5" thickBot="1">
      <c r="A18" t="s">
        <v>29</v>
      </c>
      <c r="B18" s="1" t="s">
        <v>30</v>
      </c>
      <c r="C18" s="28" t="s">
        <v>31</v>
      </c>
      <c r="D18" s="28" t="s">
        <v>32</v>
      </c>
      <c r="E18" s="10" t="s">
        <v>33</v>
      </c>
      <c r="F18" s="1"/>
      <c r="G18" s="1"/>
      <c r="H18" s="1"/>
      <c r="I18" s="1"/>
    </row>
    <row r="19" spans="1:9">
      <c r="A19">
        <f>(180/PI())*ATAN(SQRT(3)*C21)</f>
        <v>65.320055744520943</v>
      </c>
      <c r="B19" s="1">
        <f>A19/180*PI()</f>
        <v>1.1400500403281264</v>
      </c>
      <c r="C19" s="29">
        <f>C16</f>
        <v>0.18080403586860905</v>
      </c>
      <c r="D19" s="29">
        <f>D13</f>
        <v>0.86294888995802177</v>
      </c>
      <c r="E19" s="8">
        <f>-E16</f>
        <v>0.31316177633793663</v>
      </c>
      <c r="F19" s="1"/>
      <c r="G19" s="1" t="s">
        <v>34</v>
      </c>
      <c r="H19" s="1"/>
      <c r="I19" s="1"/>
    </row>
    <row r="20" spans="1:9">
      <c r="A20" s="11"/>
      <c r="B20" s="11"/>
      <c r="C20" s="29"/>
      <c r="D20" s="18"/>
      <c r="E20" s="18"/>
      <c r="F20" s="18"/>
      <c r="G20" s="1"/>
      <c r="H20" s="1"/>
      <c r="I20" s="1"/>
    </row>
    <row r="21" spans="1:9">
      <c r="A21" s="20" t="s">
        <v>35</v>
      </c>
      <c r="B21" s="11"/>
      <c r="C21" s="18">
        <f>(SIN(B14)/2)/((1/SQRT(3))-((SQRT(3)/4)*((1/3)-COS(B14))))</f>
        <v>1.2564077831268281</v>
      </c>
      <c r="D21" s="11"/>
      <c r="E21" s="18" t="s">
        <v>36</v>
      </c>
      <c r="G21" s="1"/>
      <c r="H21" s="1"/>
      <c r="I21" s="1"/>
    </row>
    <row r="22" spans="1:9">
      <c r="A22" s="19" t="s">
        <v>37</v>
      </c>
      <c r="B22" s="11"/>
      <c r="C22" s="18">
        <f>E19-E16</f>
        <v>0.62632355267587325</v>
      </c>
      <c r="E22" s="18" t="s">
        <v>38</v>
      </c>
      <c r="G22" s="1"/>
      <c r="H22" s="1"/>
      <c r="I22" s="1"/>
    </row>
    <row r="23" spans="1:9" ht="13.5" thickBot="1">
      <c r="A23" s="19" t="s">
        <v>39</v>
      </c>
      <c r="B23" s="11"/>
      <c r="C23" s="18">
        <f>1/(SQRT(3)*COS(B19))</f>
        <v>1.3827124975333824</v>
      </c>
      <c r="E23" s="18" t="s">
        <v>40</v>
      </c>
      <c r="F23" s="18"/>
      <c r="G23" s="1"/>
      <c r="H23" s="1"/>
      <c r="I23" s="1"/>
    </row>
    <row r="24" spans="1:9" ht="17.25" thickTop="1" thickBot="1">
      <c r="A24" s="19" t="s">
        <v>41</v>
      </c>
      <c r="C24" s="18">
        <f>(1/4)*SQRT(3)</f>
        <v>0.4330127018922193</v>
      </c>
      <c r="D24" s="18"/>
      <c r="E24" s="30">
        <v>94.830926181630403</v>
      </c>
      <c r="F24" s="18"/>
      <c r="G24" s="1"/>
      <c r="H24" s="1"/>
      <c r="I24" s="1"/>
    </row>
    <row r="25" spans="1:9" ht="13.5" thickTop="1">
      <c r="A25" s="21" t="s">
        <v>42</v>
      </c>
      <c r="B25" s="18"/>
      <c r="C25" s="18">
        <f>0.5*C22*C23</f>
        <v>0.43301270189221885</v>
      </c>
      <c r="D25" s="18"/>
      <c r="E25" s="18">
        <v>109.471220399</v>
      </c>
      <c r="F25" s="18" t="s">
        <v>43</v>
      </c>
      <c r="G25" s="1"/>
      <c r="H25" s="1"/>
      <c r="I25" s="1"/>
    </row>
    <row r="26" spans="1:9">
      <c r="A26" s="3" t="s">
        <v>44</v>
      </c>
      <c r="B26" s="11"/>
      <c r="C26" s="18">
        <f>4*C24+3*C25</f>
        <v>3.0310889132455339</v>
      </c>
      <c r="E26" s="18">
        <v>108.97333768579</v>
      </c>
      <c r="F26" t="s">
        <v>45</v>
      </c>
      <c r="G26" s="1"/>
      <c r="H26" s="1"/>
      <c r="I26" s="1"/>
    </row>
    <row r="27" spans="1:9">
      <c r="A27" s="3" t="s">
        <v>46</v>
      </c>
      <c r="B27" s="18"/>
      <c r="C27" s="18">
        <f>(C22/2)/SIN(D29/2)</f>
        <v>0.53438777882651034</v>
      </c>
      <c r="E27" s="18"/>
      <c r="G27" s="1"/>
      <c r="H27" s="1"/>
      <c r="I27" s="1"/>
    </row>
    <row r="28" spans="1:9">
      <c r="A28" s="23" t="s">
        <v>47</v>
      </c>
      <c r="D28" s="22" t="s">
        <v>48</v>
      </c>
      <c r="E28" s="18"/>
      <c r="F28" s="18"/>
      <c r="G28" s="1"/>
      <c r="H28" s="1"/>
      <c r="I28" s="1"/>
    </row>
    <row r="29" spans="1:9">
      <c r="A29" s="11" t="s">
        <v>49</v>
      </c>
      <c r="C29" s="1">
        <f>(360/PI())*ATAN((C22*COS(B19))/(2*C16))</f>
        <v>71.75012247957558</v>
      </c>
      <c r="D29" s="1">
        <f>C29*PI()/180</f>
        <v>1.2522758759777919</v>
      </c>
      <c r="E29" s="18"/>
      <c r="F29" s="18"/>
      <c r="G29" s="1"/>
      <c r="H29" s="1"/>
      <c r="I29" s="1"/>
    </row>
    <row r="30" spans="1:9">
      <c r="A30" s="11" t="s">
        <v>50</v>
      </c>
      <c r="B30" s="18"/>
      <c r="C30" s="18">
        <f>(360/PI())*ATAN((C22/2)/(C23-(C16/COS(B19))))</f>
        <v>36.499755040848896</v>
      </c>
      <c r="D30" s="1">
        <f>C30*PI()/180</f>
        <v>0.63704090163421057</v>
      </c>
      <c r="E30" s="18"/>
      <c r="F30" s="18"/>
      <c r="G30" s="1"/>
      <c r="H30" s="1"/>
      <c r="I30" s="1"/>
    </row>
    <row r="31" spans="1:9">
      <c r="A31" s="18" t="s">
        <v>51</v>
      </c>
      <c r="B31" s="18"/>
      <c r="C31" s="18">
        <f>(360 - C29 - C30)/2</f>
        <v>125.87506123978777</v>
      </c>
      <c r="D31" s="1">
        <f>C31*PI()/180</f>
        <v>2.1969342647837919</v>
      </c>
      <c r="E31" s="18"/>
      <c r="F31" s="18"/>
      <c r="G31" s="1"/>
      <c r="H31" s="1"/>
      <c r="I31" s="1"/>
    </row>
    <row r="32" spans="1:9">
      <c r="D32" s="18"/>
      <c r="E32" s="1"/>
      <c r="F32" s="1"/>
      <c r="G32" s="1"/>
      <c r="H32" s="1"/>
      <c r="I32" s="1"/>
    </row>
    <row r="33" spans="1:9">
      <c r="A33" t="s">
        <v>52</v>
      </c>
      <c r="C33" s="1">
        <f>2*PI()*F10*C21</f>
        <v>4.5577432765087282</v>
      </c>
      <c r="D33" s="1" t="s">
        <v>53</v>
      </c>
      <c r="E33" s="1"/>
      <c r="F33" s="1"/>
      <c r="G33" s="1"/>
      <c r="H33" s="1"/>
      <c r="I33" s="1"/>
    </row>
    <row r="34" spans="1:9">
      <c r="A34" t="s">
        <v>54</v>
      </c>
      <c r="C34" s="1">
        <f>2*PI()*F16*C21</f>
        <v>2.2788716382543641</v>
      </c>
      <c r="D34" s="1">
        <f>C33/C34</f>
        <v>2</v>
      </c>
      <c r="E34" s="1"/>
      <c r="F34" s="1"/>
      <c r="G34" s="1"/>
      <c r="H34" s="1"/>
      <c r="I34" s="1"/>
    </row>
    <row r="35" spans="1:9">
      <c r="D35" s="22" t="s">
        <v>55</v>
      </c>
      <c r="E35" s="1"/>
      <c r="F35" s="1"/>
      <c r="G35" s="1"/>
      <c r="H35" s="1"/>
      <c r="I35" s="1"/>
    </row>
    <row r="36" spans="1:9">
      <c r="A36" t="s">
        <v>56</v>
      </c>
      <c r="C36" s="1">
        <f>(PI()*F10*F10*C21)/3</f>
        <v>0.4385690512649203</v>
      </c>
      <c r="D36" s="1">
        <f>C36/C37</f>
        <v>4</v>
      </c>
      <c r="E36" s="1"/>
      <c r="F36" s="1"/>
      <c r="G36" s="1"/>
      <c r="H36" s="1"/>
      <c r="I36" s="1"/>
    </row>
    <row r="37" spans="1:9">
      <c r="A37" t="s">
        <v>57</v>
      </c>
      <c r="C37" s="1">
        <f>(PI()*F16*F16*C21)/3</f>
        <v>0.10964226281623007</v>
      </c>
      <c r="D37" s="1"/>
      <c r="E37" s="1"/>
      <c r="F37" s="1"/>
      <c r="G37" s="1"/>
      <c r="H37" s="1"/>
      <c r="I37" s="1"/>
    </row>
    <row r="38" spans="1:9">
      <c r="A38" s="11"/>
      <c r="C38" s="1"/>
      <c r="D38" s="1"/>
      <c r="E38" s="1"/>
      <c r="F38" s="1"/>
      <c r="G38" s="1"/>
      <c r="H38" s="1"/>
      <c r="I38" s="1"/>
    </row>
    <row r="39" spans="1:9">
      <c r="A39" s="7" t="s">
        <v>58</v>
      </c>
      <c r="C39">
        <f>2*(180/PI())*ATAN(F16/C21)</f>
        <v>25.879657147182851</v>
      </c>
      <c r="D39" s="1" t="s">
        <v>59</v>
      </c>
      <c r="E39" s="1" t="s">
        <v>60</v>
      </c>
      <c r="F39" s="1"/>
      <c r="G39" s="1"/>
      <c r="H39" s="1"/>
      <c r="I39" s="1"/>
    </row>
    <row r="40" spans="1:9">
      <c r="A40" s="33" t="s">
        <v>61</v>
      </c>
      <c r="C40">
        <f xml:space="preserve"> C21-(F10*TAN(B19-((PI()/180)*C29/2)))</f>
        <v>0.93049001397513575</v>
      </c>
      <c r="D40" s="1"/>
      <c r="E40" s="1"/>
      <c r="F40" s="1"/>
      <c r="G40" s="1"/>
      <c r="H40" s="1"/>
      <c r="I40" s="1"/>
    </row>
    <row r="41" spans="1:9" ht="15.75">
      <c r="A41" s="6" t="s">
        <v>62</v>
      </c>
      <c r="D41" s="1"/>
      <c r="E41" s="1"/>
      <c r="F41" s="1"/>
      <c r="G41" s="1"/>
      <c r="H41" s="1"/>
      <c r="I41" s="1"/>
    </row>
    <row r="42" spans="1:9">
      <c r="A42" t="s">
        <v>63</v>
      </c>
      <c r="C42">
        <f>SIN((C30/2)*PI()/180)/(SIN((C30/2)*PI()/180) + 0.5)</f>
        <v>0.3851162037500786</v>
      </c>
      <c r="D42" s="1" t="s">
        <v>64</v>
      </c>
      <c r="E42" s="1" t="s">
        <v>65</v>
      </c>
      <c r="F42" s="1" t="s">
        <v>66</v>
      </c>
      <c r="G42" s="1"/>
      <c r="H42" s="1"/>
      <c r="I42" s="1"/>
    </row>
    <row r="43" spans="1:9">
      <c r="A43" t="s">
        <v>67</v>
      </c>
      <c r="C43">
        <f>1-C42</f>
        <v>0.6148837962499214</v>
      </c>
      <c r="D43" s="1"/>
      <c r="E43" s="1">
        <f>(1+SQRT(5))/2</f>
        <v>1.6180339887498949</v>
      </c>
      <c r="F43" s="1">
        <f>SQRT(2)/E43</f>
        <v>0.87403204889764219</v>
      </c>
      <c r="G43" s="1"/>
      <c r="H43" s="1"/>
      <c r="I43" s="1"/>
    </row>
    <row r="44" spans="1:9">
      <c r="B44" t="s">
        <v>68</v>
      </c>
      <c r="C44">
        <f>2*(SIN((C30/2)*PI()/180)*C43)</f>
        <v>0.38511620375007855</v>
      </c>
      <c r="D44" s="1" t="s">
        <v>69</v>
      </c>
      <c r="E44" s="1"/>
      <c r="F44" s="1"/>
      <c r="G44" s="1"/>
      <c r="H44" s="1"/>
      <c r="I44" s="1"/>
    </row>
    <row r="45" spans="1:9">
      <c r="C45">
        <f>C44/2</f>
        <v>0.19255810187503927</v>
      </c>
      <c r="D45" s="1"/>
      <c r="E45" s="1"/>
      <c r="F45" s="1"/>
      <c r="G45" s="1"/>
      <c r="H45" s="1"/>
      <c r="I45" s="1"/>
    </row>
    <row r="46" spans="1:9">
      <c r="B46" t="s">
        <v>70</v>
      </c>
      <c r="C46">
        <f>0.125/(SIN((C30/2)*PI()/180))</f>
        <v>0.3991547163313795</v>
      </c>
      <c r="D46" s="1"/>
      <c r="E46" s="1"/>
      <c r="F46" s="1"/>
      <c r="G46" s="1"/>
      <c r="H46" s="1"/>
      <c r="I46" s="1"/>
    </row>
    <row r="47" spans="1:9">
      <c r="B47" t="s">
        <v>71</v>
      </c>
      <c r="C47">
        <f>C43-C46</f>
        <v>0.2157290799185419</v>
      </c>
      <c r="D47" s="1"/>
      <c r="E47" s="1"/>
      <c r="F47" s="1"/>
      <c r="G47" s="1"/>
      <c r="H47" s="1"/>
      <c r="I47" s="1"/>
    </row>
    <row r="48" spans="1:9" ht="13.5" thickBot="1">
      <c r="B48" t="s">
        <v>72</v>
      </c>
      <c r="C48">
        <f>C42*(SQRT(2)/(E43*E43))</f>
        <v>0.20803265380563837</v>
      </c>
      <c r="D48" s="32" t="s">
        <v>73</v>
      </c>
    </row>
    <row r="49" spans="1:6" ht="17.25" thickTop="1" thickBot="1">
      <c r="B49" t="s">
        <v>74</v>
      </c>
      <c r="C49">
        <f>C47-C48</f>
        <v>7.6964261129035261E-3</v>
      </c>
      <c r="D49">
        <f>(C49/C47)*100</f>
        <v>3.5676349780055863</v>
      </c>
      <c r="E49" t="s">
        <v>75</v>
      </c>
      <c r="F49" s="30">
        <v>102.8066354</v>
      </c>
    </row>
    <row r="50" spans="1:6" ht="13.5" thickTop="1">
      <c r="B50" t="s">
        <v>76</v>
      </c>
      <c r="C50">
        <f>C43*COS((C30/2)*PI()/180)</f>
        <v>0.58395501564161334</v>
      </c>
    </row>
    <row r="51" spans="1:6">
      <c r="B51" t="s">
        <v>77</v>
      </c>
      <c r="C51" s="1">
        <f>C23-C50</f>
        <v>0.79875748189176909</v>
      </c>
    </row>
    <row r="52" spans="1:6">
      <c r="B52" t="s">
        <v>78</v>
      </c>
      <c r="C52">
        <f>F43*C42</f>
        <v>0.336603904627363</v>
      </c>
      <c r="D52" t="s">
        <v>79</v>
      </c>
    </row>
    <row r="53" spans="1:6">
      <c r="B53" t="s">
        <v>80</v>
      </c>
      <c r="C53">
        <f>C52+C50</f>
        <v>0.92055892026897634</v>
      </c>
    </row>
    <row r="54" spans="1:6">
      <c r="B54" t="s">
        <v>81</v>
      </c>
      <c r="C54" s="1">
        <f>C23-C53</f>
        <v>0.46215357726440609</v>
      </c>
    </row>
    <row r="55" spans="1:6">
      <c r="B55" t="s">
        <v>82</v>
      </c>
      <c r="C55">
        <f>C27*(COS((C29/2)*PI()/180))</f>
        <v>0.43301270189221874</v>
      </c>
      <c r="D55" t="s">
        <v>83</v>
      </c>
    </row>
    <row r="56" spans="1:6">
      <c r="B56" t="s">
        <v>84</v>
      </c>
      <c r="C56" s="1">
        <f>C55-C54</f>
        <v>-2.9140875372187347E-2</v>
      </c>
      <c r="D56">
        <f>(C56/C23)*100</f>
        <v>-2.1075151504142537</v>
      </c>
    </row>
    <row r="58" spans="1:6">
      <c r="D58" t="s">
        <v>85</v>
      </c>
    </row>
    <row r="59" spans="1:6">
      <c r="A59" s="16" t="s">
        <v>86</v>
      </c>
      <c r="B59" s="32" t="s">
        <v>87</v>
      </c>
      <c r="C59" s="32" t="s">
        <v>88</v>
      </c>
    </row>
    <row r="60" spans="1:6">
      <c r="A60" t="s">
        <v>89</v>
      </c>
      <c r="B60">
        <f>(180/PI())*ATAN((C21-D13)/F13)</f>
        <v>47.415463090815187</v>
      </c>
      <c r="C60">
        <f>ATAN((C21-D13)/F13)</f>
        <v>0.82755594729257209</v>
      </c>
    </row>
    <row r="61" spans="1:6">
      <c r="A61" s="3" t="s">
        <v>90</v>
      </c>
    </row>
    <row r="62" spans="1:6">
      <c r="A62" t="s">
        <v>91</v>
      </c>
      <c r="C62" s="1">
        <f>F10+(D10/2)</f>
        <v>0.43301270189221941</v>
      </c>
    </row>
    <row r="63" spans="1:6">
      <c r="A63" t="s">
        <v>92</v>
      </c>
      <c r="C63">
        <f>C62/(1+(TAN(C60)/TAN(B19)))</f>
        <v>0.28867513459481298</v>
      </c>
    </row>
    <row r="64" spans="1:6">
      <c r="A64" t="s">
        <v>93</v>
      </c>
      <c r="C64">
        <f>C63*TAN(C60)</f>
        <v>0.31410194578170703</v>
      </c>
    </row>
    <row r="65" spans="1:3">
      <c r="A65" t="s">
        <v>94</v>
      </c>
      <c r="C65">
        <f>C64/SIN(C60)</f>
        <v>0.42660680453690347</v>
      </c>
    </row>
    <row r="66" spans="1:3">
      <c r="A66" t="s">
        <v>95</v>
      </c>
      <c r="C66">
        <f>C64/SIN(B19)</f>
        <v>0.34567812438334561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8"/>
  <sheetViews>
    <sheetView topLeftCell="A10" workbookViewId="0">
      <selection activeCell="D11" sqref="D11"/>
    </sheetView>
  </sheetViews>
  <sheetFormatPr defaultRowHeight="12.75"/>
  <cols>
    <col min="1" max="1" width="31.140625" customWidth="1"/>
    <col min="2" max="3" width="28.28515625" customWidth="1"/>
    <col min="4" max="4" width="29.5703125" customWidth="1"/>
    <col min="5" max="5" width="26" customWidth="1"/>
    <col min="6" max="6" width="35.5703125" customWidth="1"/>
    <col min="7" max="7" width="31.85546875" customWidth="1"/>
    <col min="8" max="8" width="20.7109375" customWidth="1"/>
    <col min="9" max="9" width="16.5703125" customWidth="1"/>
  </cols>
  <sheetData>
    <row r="1" spans="1:10" ht="20.25">
      <c r="A1" s="2" t="s">
        <v>96</v>
      </c>
      <c r="C1" s="3" t="s">
        <v>1</v>
      </c>
      <c r="D1" s="4" t="s">
        <v>97</v>
      </c>
    </row>
    <row r="2" spans="1:10" ht="20.25">
      <c r="A2" s="2"/>
      <c r="C2" s="3"/>
      <c r="D2" s="4"/>
    </row>
    <row r="3" spans="1:10">
      <c r="A3" s="16" t="s">
        <v>98</v>
      </c>
      <c r="B3" s="17"/>
      <c r="C3" s="3"/>
      <c r="D3" s="4"/>
      <c r="E3" s="17"/>
      <c r="F3" s="17"/>
    </row>
    <row r="4" spans="1:10">
      <c r="A4" s="17" t="s">
        <v>99</v>
      </c>
      <c r="B4" s="17"/>
      <c r="C4" s="3"/>
      <c r="D4" s="4"/>
      <c r="E4" s="17"/>
      <c r="F4" s="17"/>
    </row>
    <row r="5" spans="1:10">
      <c r="A5" s="17" t="s">
        <v>100</v>
      </c>
      <c r="B5" s="17"/>
      <c r="C5" s="3"/>
      <c r="D5" s="4"/>
      <c r="E5" s="17"/>
      <c r="F5" s="17"/>
    </row>
    <row r="6" spans="1:10">
      <c r="A6" s="17" t="s">
        <v>101</v>
      </c>
      <c r="B6" s="17"/>
      <c r="C6" s="3"/>
      <c r="D6" s="4"/>
      <c r="E6" s="17"/>
      <c r="F6" s="17"/>
    </row>
    <row r="7" spans="1:10">
      <c r="A7" s="17" t="s">
        <v>102</v>
      </c>
      <c r="B7" s="17"/>
      <c r="C7" s="3"/>
      <c r="D7" s="4"/>
      <c r="E7" s="17"/>
      <c r="F7" s="17"/>
    </row>
    <row r="8" spans="1:10">
      <c r="A8" s="17" t="s">
        <v>103</v>
      </c>
      <c r="B8" s="17"/>
      <c r="C8" s="3"/>
      <c r="D8" s="4"/>
      <c r="E8" s="17"/>
      <c r="F8" s="17"/>
    </row>
    <row r="9" spans="1:10">
      <c r="A9" s="17"/>
      <c r="B9" s="17"/>
      <c r="C9" s="3"/>
      <c r="D9" s="4"/>
      <c r="E9" s="17"/>
      <c r="F9" s="17"/>
    </row>
    <row r="10" spans="1:10" ht="15.75">
      <c r="C10" s="6" t="s">
        <v>104</v>
      </c>
    </row>
    <row r="11" spans="1:10" ht="16.5" thickBot="1">
      <c r="B11" s="3" t="s">
        <v>105</v>
      </c>
      <c r="C11" s="13" t="s">
        <v>106</v>
      </c>
      <c r="D11" s="15" t="s">
        <v>107</v>
      </c>
      <c r="E11" s="12" t="s">
        <v>108</v>
      </c>
      <c r="F11" s="34" t="s">
        <v>109</v>
      </c>
      <c r="G11" s="42" t="s">
        <v>110</v>
      </c>
      <c r="H11" s="23"/>
      <c r="I11" s="23"/>
      <c r="J11" s="23"/>
    </row>
    <row r="12" spans="1:10" ht="13.5" thickBot="1">
      <c r="B12" t="s">
        <v>111</v>
      </c>
      <c r="C12" s="29">
        <f>-(1/2)/SQRT(3)</f>
        <v>-0.28867513459481292</v>
      </c>
      <c r="D12" s="14">
        <f>-C12/2</f>
        <v>0.14433756729740646</v>
      </c>
      <c r="E12" s="53">
        <f>D12</f>
        <v>0.14433756729740646</v>
      </c>
      <c r="F12" s="54">
        <f>ABS(C12)</f>
        <v>0.28867513459481292</v>
      </c>
      <c r="G12" s="41" t="s">
        <v>112</v>
      </c>
      <c r="H12" s="41"/>
      <c r="I12" s="41"/>
      <c r="J12" s="41"/>
    </row>
    <row r="13" spans="1:10" ht="13.5" thickTop="1">
      <c r="A13" s="5" t="s">
        <v>113</v>
      </c>
      <c r="C13" s="29"/>
      <c r="D13" s="29">
        <f>D12*SQRT(3)</f>
        <v>0.25</v>
      </c>
      <c r="E13" s="29">
        <f>-E12*SQRT(3)</f>
        <v>-0.25</v>
      </c>
      <c r="F13" s="55"/>
      <c r="G13" s="1">
        <f>1/SQRT(3)</f>
        <v>0.57735026918962584</v>
      </c>
    </row>
    <row r="14" spans="1:10" ht="13.5" thickBot="1">
      <c r="A14" s="9" t="s">
        <v>16</v>
      </c>
      <c r="B14" s="3" t="s">
        <v>114</v>
      </c>
      <c r="C14" s="28" t="s">
        <v>115</v>
      </c>
      <c r="D14" s="28" t="s">
        <v>116</v>
      </c>
      <c r="E14" s="28" t="s">
        <v>117</v>
      </c>
      <c r="F14" s="37" t="s">
        <v>118</v>
      </c>
      <c r="G14" s="1"/>
    </row>
    <row r="15" spans="1:10" ht="15.75" customHeight="1">
      <c r="A15" s="46" t="s">
        <v>119</v>
      </c>
      <c r="B15" t="s">
        <v>120</v>
      </c>
      <c r="C15" s="29">
        <f>(C19*COS(PI()*4/3)+E19*SIN(PI()*4/3))</f>
        <v>-0.31522175599335134</v>
      </c>
      <c r="D15" s="29">
        <f>B22</f>
        <v>0.31410194578170708</v>
      </c>
      <c r="E15" s="8">
        <f>(E19*COS(PI()*4/3)-C19*SIN(PI()*4/3))</f>
        <v>0.31800663432281212</v>
      </c>
      <c r="F15" s="35">
        <f>(D12+B21)/COS(B27)</f>
        <v>0.44776441900273262</v>
      </c>
      <c r="G15" s="43" t="s">
        <v>121</v>
      </c>
    </row>
    <row r="16" spans="1:10" ht="13.5" thickBot="1">
      <c r="A16" s="56">
        <v>94.830926181630403</v>
      </c>
      <c r="B16" t="s">
        <v>122</v>
      </c>
      <c r="C16" s="28" t="s">
        <v>123</v>
      </c>
      <c r="D16" s="28" t="s">
        <v>124</v>
      </c>
      <c r="E16" s="10" t="s">
        <v>125</v>
      </c>
      <c r="F16" s="36"/>
      <c r="G16" s="1">
        <v>0.36160807173721798</v>
      </c>
      <c r="H16" s="1"/>
    </row>
    <row r="17" spans="1:8" ht="14.25" thickTop="1" thickBot="1">
      <c r="A17" s="7"/>
      <c r="C17" s="14">
        <f>(C21*COS(PI()*4/3)+E21*SIN(PI()*4/3))</f>
        <v>-0.11779094589886847</v>
      </c>
      <c r="D17" s="1">
        <f>B22</f>
        <v>0.31410194578170708</v>
      </c>
      <c r="E17" s="14">
        <f>(E21*COS(PI()*4/3)-C21*SIN(PI()*4/3))</f>
        <v>0.43199336567718777</v>
      </c>
      <c r="F17" s="38" t="s">
        <v>126</v>
      </c>
      <c r="G17" s="1"/>
      <c r="H17" s="1"/>
    </row>
    <row r="18" spans="1:8" ht="16.5" thickBot="1">
      <c r="A18" s="47" t="s">
        <v>127</v>
      </c>
      <c r="C18" s="10" t="s">
        <v>128</v>
      </c>
      <c r="D18" s="52" t="s">
        <v>129</v>
      </c>
      <c r="E18" s="10" t="s">
        <v>130</v>
      </c>
      <c r="F18" s="35"/>
      <c r="G18" s="44" t="s">
        <v>131</v>
      </c>
      <c r="H18" s="1" t="s">
        <v>132</v>
      </c>
    </row>
    <row r="19" spans="1:8">
      <c r="A19" s="16" t="s">
        <v>133</v>
      </c>
      <c r="B19" s="1"/>
      <c r="C19" s="29">
        <f>D12+B21</f>
        <v>0.43301270189221941</v>
      </c>
      <c r="D19" s="29">
        <f>B22</f>
        <v>0.31410194578170708</v>
      </c>
      <c r="E19" s="8">
        <f>B24/2</f>
        <v>0.11398673135437559</v>
      </c>
      <c r="F19" s="39"/>
      <c r="G19" s="1">
        <v>94.830926181630403</v>
      </c>
      <c r="H19" s="1">
        <v>1.6551118945851446</v>
      </c>
    </row>
    <row r="20" spans="1:8" ht="13.5" thickBot="1">
      <c r="A20" t="s">
        <v>134</v>
      </c>
      <c r="B20" s="1">
        <f>1/SQRT(3)</f>
        <v>0.57735026918962584</v>
      </c>
      <c r="C20" s="28" t="s">
        <v>135</v>
      </c>
      <c r="D20" s="28" t="s">
        <v>136</v>
      </c>
      <c r="E20" s="10" t="s">
        <v>137</v>
      </c>
      <c r="F20" s="39"/>
      <c r="G20" s="1"/>
      <c r="H20" s="1"/>
    </row>
    <row r="21" spans="1:8" ht="15.75">
      <c r="A21" t="s">
        <v>138</v>
      </c>
      <c r="B21" s="1">
        <f>(B20-D12)/(1 + (TAN(H25)/TAN(H22)))</f>
        <v>0.28867513459481292</v>
      </c>
      <c r="C21" s="29">
        <f>C19</f>
        <v>0.43301270189221941</v>
      </c>
      <c r="D21" s="29">
        <f>B22</f>
        <v>0.31410194578170708</v>
      </c>
      <c r="E21" s="8">
        <f>-E19</f>
        <v>-0.11398673135437559</v>
      </c>
      <c r="F21" s="35"/>
      <c r="G21" s="43" t="s">
        <v>139</v>
      </c>
      <c r="H21" s="1"/>
    </row>
    <row r="22" spans="1:8" ht="13.5" thickBot="1">
      <c r="A22" t="s">
        <v>140</v>
      </c>
      <c r="B22" s="1">
        <f>B21*TAN(H25)</f>
        <v>0.31410194578170708</v>
      </c>
      <c r="C22" s="28" t="s">
        <v>141</v>
      </c>
      <c r="D22" s="28" t="s">
        <v>142</v>
      </c>
      <c r="E22" s="10" t="s">
        <v>143</v>
      </c>
      <c r="F22" s="39"/>
      <c r="G22" s="1">
        <v>65.320055744520943</v>
      </c>
      <c r="H22" s="1">
        <v>1.1400500403281264</v>
      </c>
    </row>
    <row r="23" spans="1:8">
      <c r="A23" t="s">
        <v>144</v>
      </c>
      <c r="B23" s="18">
        <f>(B20-D12-B21)/COS(H22)</f>
        <v>0.34567812438334572</v>
      </c>
      <c r="C23" s="29">
        <f>(C19*COS(PI()*2/3)+E19*SIN(PI()*2/3))</f>
        <v>-0.11779094589886815</v>
      </c>
      <c r="D23" s="29">
        <f>B22</f>
        <v>0.31410194578170708</v>
      </c>
      <c r="E23" s="8">
        <f>(E19*COS(PI()*2/3)-C19*SIN(PI()*2/3))</f>
        <v>-0.43199336567718788</v>
      </c>
      <c r="F23" s="36"/>
      <c r="G23" s="1"/>
      <c r="H23" s="1"/>
    </row>
    <row r="24" spans="1:8" ht="16.5" thickBot="1">
      <c r="A24" s="19" t="s">
        <v>145</v>
      </c>
      <c r="B24" s="18">
        <f>2*B23*TAN(H29/2)</f>
        <v>0.22797346270875118</v>
      </c>
      <c r="C24" s="28" t="s">
        <v>146</v>
      </c>
      <c r="D24" s="28" t="s">
        <v>147</v>
      </c>
      <c r="E24" s="10" t="s">
        <v>148</v>
      </c>
      <c r="F24" s="40"/>
      <c r="G24" s="43" t="s">
        <v>149</v>
      </c>
      <c r="H24" s="1"/>
    </row>
    <row r="25" spans="1:8">
      <c r="A25" s="20" t="s">
        <v>150</v>
      </c>
      <c r="B25" s="18">
        <f>B21/COS(H25)</f>
        <v>0.42660680453690353</v>
      </c>
      <c r="C25" s="29">
        <f>(C21*COS(PI()*2/3)+E21*SIN(PI()*2/3))</f>
        <v>-0.31522175599335112</v>
      </c>
      <c r="D25" s="29">
        <f>B22</f>
        <v>0.31410194578170708</v>
      </c>
      <c r="E25" s="8">
        <f>(E21*COS(PI()*2/3)-C21*SIN(PI()*2/3))</f>
        <v>-0.31800663432281234</v>
      </c>
      <c r="F25" s="39"/>
      <c r="G25">
        <f>(180/PI())*H25</f>
        <v>47.415463090815201</v>
      </c>
      <c r="H25" s="1">
        <f>ATAN((H32-H40)/G16)</f>
        <v>0.82755594729257231</v>
      </c>
    </row>
    <row r="26" spans="1:8" ht="13.5" thickBot="1">
      <c r="A26" s="3" t="s">
        <v>151</v>
      </c>
      <c r="B26" s="1">
        <f>B25/SIN(ATAN(B25/((0.5-B24)/2)))</f>
        <v>0.44776441900273251</v>
      </c>
      <c r="C26" s="28" t="s">
        <v>152</v>
      </c>
      <c r="D26" s="28" t="s">
        <v>153</v>
      </c>
      <c r="E26" s="10" t="s">
        <v>154</v>
      </c>
      <c r="F26" s="39"/>
      <c r="G26" s="43" t="s">
        <v>155</v>
      </c>
      <c r="H26" s="1"/>
    </row>
    <row r="27" spans="1:8">
      <c r="A27" t="s">
        <v>156</v>
      </c>
      <c r="B27" s="1">
        <f>ATAN((B24/2)/(B21+D12))</f>
        <v>0.25740151111260279</v>
      </c>
      <c r="C27" s="29">
        <f>C33*COS(PI()*4/3)+E33*SIN(PI()*4/3)</f>
        <v>-0.33352041585659203</v>
      </c>
      <c r="D27" s="29">
        <f>B42</f>
        <v>0.53061328942704422</v>
      </c>
      <c r="E27" s="8">
        <f>E33*COS(PI()*4/3) -C33*SIN(PI()*4/3)</f>
        <v>0.19255810187503911</v>
      </c>
      <c r="F27" s="39"/>
      <c r="G27" s="1">
        <v>71.75012247957558</v>
      </c>
      <c r="H27">
        <v>1.2522758759777919</v>
      </c>
    </row>
    <row r="28" spans="1:8" ht="13.5" thickBot="1">
      <c r="A28" s="21" t="s">
        <v>157</v>
      </c>
      <c r="B28" s="18">
        <f>0.5/B24</f>
        <v>2.193237730651036</v>
      </c>
      <c r="C28" s="28" t="s">
        <v>158</v>
      </c>
      <c r="D28" s="28" t="s">
        <v>159</v>
      </c>
      <c r="E28" s="10" t="s">
        <v>160</v>
      </c>
      <c r="F28" s="40"/>
      <c r="G28" s="41" t="s">
        <v>161</v>
      </c>
    </row>
    <row r="29" spans="1:8">
      <c r="A29" s="3" t="s">
        <v>162</v>
      </c>
      <c r="B29" s="18">
        <f>((0.5+B24)/2)*B25</f>
        <v>0.15527921635692252</v>
      </c>
      <c r="C29" s="29">
        <f>C39</f>
        <v>0</v>
      </c>
      <c r="D29" s="29">
        <f>B42</f>
        <v>0.53061328942704422</v>
      </c>
      <c r="E29" s="8">
        <f>E35*COS(PI()*4/3)-C35*SIN(PI()*4/3)</f>
        <v>0.3851162037500786</v>
      </c>
      <c r="F29" s="39"/>
      <c r="G29">
        <v>36.499755040848896</v>
      </c>
      <c r="H29">
        <v>0.63704090163421057</v>
      </c>
    </row>
    <row r="30" spans="1:8" ht="13.5" thickBot="1">
      <c r="A30" s="23"/>
      <c r="B30" s="1"/>
      <c r="C30" s="28" t="s">
        <v>163</v>
      </c>
      <c r="D30" s="28" t="s">
        <v>164</v>
      </c>
      <c r="E30" s="10" t="s">
        <v>165</v>
      </c>
      <c r="F30" s="39"/>
    </row>
    <row r="31" spans="1:8">
      <c r="A31" s="48" t="s">
        <v>166</v>
      </c>
      <c r="B31" s="1" t="s">
        <v>167</v>
      </c>
      <c r="C31" s="14">
        <f>C37*COS(PI()*2/3)</f>
        <v>-0.11117347195219729</v>
      </c>
      <c r="D31" s="29">
        <f>B41</f>
        <v>0.77254478732697218</v>
      </c>
      <c r="E31" s="8">
        <f>-C37*SIN(PI()*4/3)</f>
        <v>0.19255810187503927</v>
      </c>
      <c r="F31" s="39"/>
    </row>
    <row r="32" spans="1:8" ht="13.5" thickBot="1">
      <c r="A32" t="s">
        <v>168</v>
      </c>
      <c r="B32" s="1">
        <f>B33-B34+B39</f>
        <v>0.85020750960553637</v>
      </c>
      <c r="C32" s="10" t="s">
        <v>169</v>
      </c>
      <c r="D32" s="28" t="s">
        <v>170</v>
      </c>
      <c r="E32" s="10" t="s">
        <v>171</v>
      </c>
      <c r="F32" s="39"/>
      <c r="G32" s="1" t="s">
        <v>172</v>
      </c>
      <c r="H32" s="1">
        <v>1.2564077831268281</v>
      </c>
    </row>
    <row r="33" spans="1:8">
      <c r="A33" s="18" t="s">
        <v>173</v>
      </c>
      <c r="B33" s="18">
        <f>(B40/2)/TAN((H29/2))</f>
        <v>0.58395501564161345</v>
      </c>
      <c r="C33" s="29">
        <f>B20-(B33*COS(H22))</f>
        <v>0.33352041585659192</v>
      </c>
      <c r="D33" s="29">
        <f>B33*SIN(H22)</f>
        <v>0.53061328942704422</v>
      </c>
      <c r="E33" s="8">
        <f>B40/2</f>
        <v>0.1925581018750393</v>
      </c>
      <c r="F33" s="39"/>
      <c r="G33" s="1" t="s">
        <v>174</v>
      </c>
      <c r="H33" s="1">
        <v>1.3827124975333824</v>
      </c>
    </row>
    <row r="34" spans="1:8" ht="13.5" thickBot="1">
      <c r="A34" t="s">
        <v>175</v>
      </c>
      <c r="B34" s="1">
        <f>B33-B23</f>
        <v>0.23827689125826773</v>
      </c>
      <c r="C34" s="28" t="s">
        <v>176</v>
      </c>
      <c r="D34" s="28" t="s">
        <v>177</v>
      </c>
      <c r="E34" s="10" t="s">
        <v>178</v>
      </c>
      <c r="F34" s="39"/>
      <c r="G34" s="1" t="s">
        <v>179</v>
      </c>
      <c r="H34" s="18">
        <v>0.62632355267587325</v>
      </c>
    </row>
    <row r="35" spans="1:8">
      <c r="A35" t="s">
        <v>180</v>
      </c>
      <c r="B35" s="1">
        <f>PI()/2 -(H27/2)</f>
        <v>0.94465838880600062</v>
      </c>
      <c r="C35" s="29">
        <v>0.33352041585659198</v>
      </c>
      <c r="D35" s="29">
        <f>B42</f>
        <v>0.53061328942704422</v>
      </c>
      <c r="E35" s="8">
        <f>-E33</f>
        <v>-0.1925581018750393</v>
      </c>
      <c r="F35" s="39"/>
      <c r="G35" s="45" t="s">
        <v>181</v>
      </c>
      <c r="H35" s="18">
        <v>0.53438777882651034</v>
      </c>
    </row>
    <row r="36" spans="1:8" ht="13.5" thickBot="1">
      <c r="A36" s="3" t="s">
        <v>182</v>
      </c>
      <c r="B36" s="1">
        <f>B34/COS(H29/2)</f>
        <v>0.25089706489554592</v>
      </c>
      <c r="C36" s="28" t="s">
        <v>183</v>
      </c>
      <c r="D36" s="28" t="s">
        <v>184</v>
      </c>
      <c r="E36" s="10" t="s">
        <v>185</v>
      </c>
      <c r="F36" s="39"/>
      <c r="G36" s="1" t="s">
        <v>186</v>
      </c>
      <c r="H36" s="1">
        <v>0.43301270189221885</v>
      </c>
    </row>
    <row r="37" spans="1:8">
      <c r="A37" s="3" t="s">
        <v>187</v>
      </c>
      <c r="B37" s="1">
        <f>B24</f>
        <v>0.22797346270875118</v>
      </c>
      <c r="C37" s="29">
        <f>B20 -(B32*COS(H22))</f>
        <v>0.22234694390439469</v>
      </c>
      <c r="D37" s="29">
        <f>B41</f>
        <v>0.77254478732697218</v>
      </c>
      <c r="E37" s="8">
        <v>0</v>
      </c>
      <c r="F37" s="39"/>
      <c r="G37" s="1" t="s">
        <v>188</v>
      </c>
      <c r="H37" s="1">
        <v>0.35171954136460098</v>
      </c>
    </row>
    <row r="38" spans="1:8" ht="13.5" thickBot="1">
      <c r="A38" s="3" t="s">
        <v>189</v>
      </c>
      <c r="B38" s="1">
        <f>(B40/2)/COS(B35)</f>
        <v>0.32858638611440805</v>
      </c>
      <c r="C38" s="28" t="s">
        <v>190</v>
      </c>
      <c r="D38" s="28" t="s">
        <v>191</v>
      </c>
      <c r="E38" s="10" t="s">
        <v>192</v>
      </c>
      <c r="F38" s="39"/>
      <c r="G38" s="1" t="s">
        <v>193</v>
      </c>
      <c r="H38" s="1">
        <v>0.27864670424350602</v>
      </c>
    </row>
    <row r="39" spans="1:8">
      <c r="A39" s="3" t="s">
        <v>194</v>
      </c>
      <c r="B39" s="1">
        <f>B34+(B38*SIN(B35))</f>
        <v>0.5045293852221906</v>
      </c>
      <c r="C39" s="29">
        <f>C33*(-0.5)+(E33*SIN(PI()*2/3))</f>
        <v>0</v>
      </c>
      <c r="D39" s="29">
        <f>B42</f>
        <v>0.53061328942704422</v>
      </c>
      <c r="E39" s="8">
        <f>-E29</f>
        <v>-0.3851162037500786</v>
      </c>
      <c r="F39" s="39"/>
      <c r="G39" s="1" t="s">
        <v>195</v>
      </c>
      <c r="H39" s="1">
        <v>0.93049001397513575</v>
      </c>
    </row>
    <row r="40" spans="1:8" ht="13.5" thickBot="1">
      <c r="A40" s="20" t="s">
        <v>196</v>
      </c>
      <c r="B40" s="18">
        <f>SIN(H29/2)/(0.5 + SIN(H29/2))</f>
        <v>0.3851162037500786</v>
      </c>
      <c r="C40" s="28" t="s">
        <v>197</v>
      </c>
      <c r="D40" s="28" t="s">
        <v>198</v>
      </c>
      <c r="E40" s="10" t="s">
        <v>199</v>
      </c>
      <c r="F40" s="39"/>
      <c r="G40" s="1" t="s">
        <v>200</v>
      </c>
      <c r="H40" s="1">
        <v>0.86294888995802177</v>
      </c>
    </row>
    <row r="41" spans="1:8">
      <c r="A41" s="49" t="s">
        <v>201</v>
      </c>
      <c r="B41" s="1">
        <f>B32*SIN(H22)</f>
        <v>0.77254478732697218</v>
      </c>
      <c r="C41" s="29">
        <f>C27</f>
        <v>-0.33352041585659203</v>
      </c>
      <c r="D41" s="29">
        <f>B42</f>
        <v>0.53061328942704422</v>
      </c>
      <c r="E41" s="8">
        <f>-E27</f>
        <v>-0.19255810187503911</v>
      </c>
      <c r="F41" s="39"/>
      <c r="G41" s="1" t="s">
        <v>202</v>
      </c>
      <c r="H41" s="1"/>
    </row>
    <row r="42" spans="1:8" ht="13.5" thickBot="1">
      <c r="A42" s="49" t="s">
        <v>203</v>
      </c>
      <c r="B42" s="1">
        <f>B33*SIN(H22)</f>
        <v>0.53061328942704422</v>
      </c>
      <c r="C42" s="28" t="s">
        <v>204</v>
      </c>
      <c r="D42" s="28" t="s">
        <v>205</v>
      </c>
      <c r="E42" s="10" t="s">
        <v>206</v>
      </c>
      <c r="F42" s="39"/>
      <c r="G42" s="1"/>
      <c r="H42" s="1"/>
    </row>
    <row r="43" spans="1:8">
      <c r="A43" s="33" t="s">
        <v>207</v>
      </c>
      <c r="B43" s="1">
        <v>0.12431200000000001</v>
      </c>
      <c r="C43" s="29">
        <f>C31</f>
        <v>-0.11117347195219729</v>
      </c>
      <c r="D43" s="29">
        <f>B41</f>
        <v>0.77254478732697218</v>
      </c>
      <c r="E43" s="8">
        <f>-E31</f>
        <v>-0.19255810187503927</v>
      </c>
      <c r="F43" s="39"/>
      <c r="G43" s="1"/>
      <c r="H43" s="1"/>
    </row>
    <row r="44" spans="1:8" ht="13.5" thickBot="1">
      <c r="A44" s="33" t="s">
        <v>208</v>
      </c>
      <c r="B44" s="1">
        <v>45.943199999999997</v>
      </c>
      <c r="C44" s="28" t="s">
        <v>209</v>
      </c>
      <c r="D44" s="28" t="s">
        <v>210</v>
      </c>
      <c r="E44" s="10" t="s">
        <v>211</v>
      </c>
      <c r="F44" s="39"/>
      <c r="G44" s="1"/>
      <c r="H44" s="1"/>
    </row>
    <row r="45" spans="1:8">
      <c r="C45" s="29">
        <f>C39</f>
        <v>0</v>
      </c>
      <c r="D45" s="29">
        <f>ABS(C27)*TAN(H25) +D27</f>
        <v>0.89351053627693644</v>
      </c>
      <c r="E45" s="8">
        <f>C45</f>
        <v>0</v>
      </c>
      <c r="F45" s="39"/>
      <c r="G45" s="1"/>
      <c r="H45" s="1"/>
    </row>
    <row r="46" spans="1:8" ht="13.5" thickBot="1">
      <c r="A46" s="16" t="s">
        <v>212</v>
      </c>
      <c r="C46" s="28"/>
      <c r="D46" s="28"/>
      <c r="E46" s="10"/>
      <c r="F46" s="39"/>
      <c r="G46" s="1"/>
      <c r="H46" s="1"/>
    </row>
    <row r="47" spans="1:8">
      <c r="A47" s="3" t="s">
        <v>213</v>
      </c>
      <c r="B47" s="1">
        <f>B26</f>
        <v>0.44776441900273251</v>
      </c>
      <c r="C47" s="29"/>
      <c r="D47" s="50" t="s">
        <v>214</v>
      </c>
      <c r="E47" s="8"/>
      <c r="F47" s="39"/>
      <c r="G47" s="1"/>
      <c r="H47" s="1"/>
    </row>
    <row r="48" spans="1:8">
      <c r="A48" s="3" t="s">
        <v>215</v>
      </c>
      <c r="B48" s="1">
        <f>B36</f>
        <v>0.25089706489554592</v>
      </c>
      <c r="D48" s="1">
        <v>0.23810200000000001</v>
      </c>
      <c r="E48" s="1" t="s">
        <v>216</v>
      </c>
      <c r="F48" s="39"/>
      <c r="G48" s="1"/>
      <c r="H48" s="1"/>
    </row>
    <row r="49" spans="1:8">
      <c r="A49" s="3" t="s">
        <v>217</v>
      </c>
      <c r="B49" s="1">
        <f>ABS(E41)+E27</f>
        <v>0.38511620375007821</v>
      </c>
      <c r="D49" s="1"/>
      <c r="E49" s="1"/>
      <c r="F49" s="1"/>
      <c r="G49" s="1"/>
      <c r="H49" s="1"/>
    </row>
    <row r="50" spans="1:8">
      <c r="A50" s="3" t="s">
        <v>218</v>
      </c>
      <c r="B50" s="1">
        <f>ABS(E25)+E15</f>
        <v>0.63601326864562446</v>
      </c>
      <c r="D50" s="32"/>
      <c r="G50" s="1"/>
      <c r="H50" s="1"/>
    </row>
    <row r="51" spans="1:8" ht="15.75">
      <c r="A51" s="3" t="s">
        <v>219</v>
      </c>
      <c r="B51">
        <f>D27/SIN(H19)</f>
        <v>0.53250498792784684</v>
      </c>
      <c r="D51" s="1">
        <f>-(C27-C31)</f>
        <v>0.22234694390439474</v>
      </c>
      <c r="F51" s="57"/>
      <c r="G51" s="1"/>
      <c r="H51" s="1"/>
    </row>
    <row r="52" spans="1:8">
      <c r="D52" s="1">
        <f>D31-D27</f>
        <v>0.24193149789992796</v>
      </c>
      <c r="G52" s="1"/>
    </row>
    <row r="53" spans="1:8">
      <c r="C53" s="1"/>
      <c r="D53" s="1">
        <f>D45-D37</f>
        <v>0.12096574894996426</v>
      </c>
      <c r="G53" s="1"/>
    </row>
    <row r="54" spans="1:8">
      <c r="A54" s="16" t="s">
        <v>220</v>
      </c>
      <c r="G54" s="1"/>
    </row>
    <row r="55" spans="1:8">
      <c r="A55" s="3" t="s">
        <v>221</v>
      </c>
      <c r="B55" s="1">
        <f>B49</f>
        <v>0.38511620375007821</v>
      </c>
      <c r="G55" s="1"/>
    </row>
    <row r="56" spans="1:8">
      <c r="A56" s="3" t="s">
        <v>222</v>
      </c>
      <c r="B56" s="1">
        <f>B38</f>
        <v>0.32858638611440805</v>
      </c>
      <c r="C56" s="1"/>
      <c r="G56" s="1"/>
    </row>
    <row r="57" spans="1:8">
      <c r="A57" s="3" t="s">
        <v>223</v>
      </c>
      <c r="B57">
        <f>SQRT((C37*C37) +((D45-D37)*(D45-D37)))</f>
        <v>0.25312225481503953</v>
      </c>
      <c r="G57" s="1"/>
    </row>
    <row r="58" spans="1:8">
      <c r="A58" s="3" t="s">
        <v>224</v>
      </c>
      <c r="B58">
        <f>(ABS(C27))/COS(H25)</f>
        <v>0.49287957917161235</v>
      </c>
      <c r="C58" s="1"/>
      <c r="G58" s="1"/>
    </row>
    <row r="59" spans="1:8">
      <c r="A59" s="3" t="s">
        <v>225</v>
      </c>
      <c r="B59">
        <f>(B55*B56)+(0.5*(B58-B56)*B55)</f>
        <v>0.15817992703042286</v>
      </c>
      <c r="G59" s="1"/>
    </row>
    <row r="60" spans="1:8">
      <c r="A60" t="s">
        <v>226</v>
      </c>
      <c r="B60">
        <v>66.608000000000004</v>
      </c>
      <c r="G60" s="1"/>
    </row>
    <row r="61" spans="1:8">
      <c r="A61" s="17" t="s">
        <v>227</v>
      </c>
      <c r="B61">
        <f>C61*180/PI()</f>
        <v>80.94252394019432</v>
      </c>
      <c r="C61" s="32">
        <f>2*ACOS((B55/2)/B57)</f>
        <v>1.4127135476307247</v>
      </c>
      <c r="G61" s="1"/>
    </row>
    <row r="62" spans="1:8">
      <c r="G62" s="1"/>
    </row>
    <row r="63" spans="1:8">
      <c r="A63" s="3"/>
      <c r="G63" s="1"/>
    </row>
    <row r="64" spans="1:8">
      <c r="C64" s="1"/>
      <c r="G64" s="1"/>
    </row>
    <row r="65" spans="7:7">
      <c r="G65" s="1"/>
    </row>
    <row r="66" spans="7:7">
      <c r="G66" s="1"/>
    </row>
    <row r="67" spans="7:7">
      <c r="G67" s="1"/>
    </row>
    <row r="68" spans="7:7">
      <c r="G68" s="1"/>
    </row>
    <row r="69" spans="7:7">
      <c r="G69" s="1"/>
    </row>
    <row r="70" spans="7:7">
      <c r="G70" s="1"/>
    </row>
    <row r="71" spans="7:7">
      <c r="G71" s="1"/>
    </row>
    <row r="72" spans="7:7">
      <c r="G72" s="1"/>
    </row>
    <row r="73" spans="7:7">
      <c r="G73" s="1"/>
    </row>
    <row r="74" spans="7:7">
      <c r="G74" s="1"/>
    </row>
    <row r="75" spans="7:7">
      <c r="G75" s="1"/>
    </row>
    <row r="76" spans="7:7">
      <c r="G76" s="1"/>
    </row>
    <row r="77" spans="7:7">
      <c r="G77" s="1"/>
    </row>
    <row r="78" spans="7:7">
      <c r="G78" s="1"/>
    </row>
    <row r="79" spans="7:7">
      <c r="G79" s="1"/>
    </row>
    <row r="80" spans="7:7">
      <c r="G80" s="1"/>
    </row>
    <row r="81" spans="7:7">
      <c r="G81" s="1"/>
    </row>
    <row r="82" spans="7:7">
      <c r="G82" s="1"/>
    </row>
    <row r="83" spans="7:7">
      <c r="G83" s="1"/>
    </row>
    <row r="84" spans="7:7">
      <c r="G84" s="1"/>
    </row>
    <row r="85" spans="7:7">
      <c r="G85" s="1"/>
    </row>
    <row r="86" spans="7:7">
      <c r="G86" s="1"/>
    </row>
    <row r="87" spans="7:7">
      <c r="G87" s="1"/>
    </row>
    <row r="88" spans="7:7">
      <c r="G88" s="1"/>
    </row>
    <row r="89" spans="7:7">
      <c r="G89" s="1"/>
    </row>
    <row r="90" spans="7:7">
      <c r="G90" s="1"/>
    </row>
    <row r="91" spans="7:7">
      <c r="G91" s="1"/>
    </row>
    <row r="92" spans="7:7">
      <c r="G92" s="1"/>
    </row>
    <row r="93" spans="7:7">
      <c r="G93" s="1"/>
    </row>
    <row r="94" spans="7:7">
      <c r="G94" s="1"/>
    </row>
    <row r="95" spans="7:7">
      <c r="G95" s="1"/>
    </row>
    <row r="96" spans="7:7">
      <c r="G96" s="1"/>
    </row>
    <row r="97" spans="7:7">
      <c r="G97" s="1"/>
    </row>
    <row r="98" spans="7:7">
      <c r="G98" s="1"/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6"/>
  <sheetViews>
    <sheetView workbookViewId="0">
      <selection activeCell="J38" sqref="J38"/>
    </sheetView>
  </sheetViews>
  <sheetFormatPr defaultRowHeight="12.75"/>
  <cols>
    <col min="1" max="1" width="27.28515625" customWidth="1"/>
    <col min="2" max="2" width="27.140625" customWidth="1"/>
    <col min="3" max="3" width="27.5703125" customWidth="1"/>
    <col min="4" max="4" width="32" customWidth="1"/>
    <col min="5" max="5" width="33.5703125" customWidth="1"/>
    <col min="6" max="6" width="26.42578125" customWidth="1"/>
    <col min="9" max="9" width="26.28515625" customWidth="1"/>
    <col min="10" max="10" width="23.85546875" customWidth="1"/>
    <col min="11" max="11" width="23" customWidth="1"/>
  </cols>
  <sheetData>
    <row r="1" spans="1:11" ht="20.25">
      <c r="A1" s="2" t="s">
        <v>0</v>
      </c>
      <c r="C1" s="3" t="s">
        <v>1</v>
      </c>
      <c r="D1" s="4" t="s">
        <v>2</v>
      </c>
    </row>
    <row r="2" spans="1:11" ht="20.25">
      <c r="A2" s="2"/>
      <c r="C2" s="3"/>
      <c r="D2" s="4"/>
    </row>
    <row r="3" spans="1:11">
      <c r="A3" s="16" t="s">
        <v>3</v>
      </c>
      <c r="B3" s="17"/>
      <c r="C3" s="3"/>
      <c r="D3" s="4"/>
      <c r="E3" s="17"/>
      <c r="F3" s="17"/>
    </row>
    <row r="4" spans="1:11">
      <c r="A4" s="17" t="s">
        <v>4</v>
      </c>
      <c r="B4" s="17"/>
      <c r="C4" s="3"/>
      <c r="D4" s="4"/>
      <c r="E4" s="17"/>
      <c r="F4" s="17"/>
    </row>
    <row r="5" spans="1:11">
      <c r="A5" s="17" t="s">
        <v>5</v>
      </c>
      <c r="B5" s="17"/>
      <c r="C5" s="3"/>
      <c r="D5" s="4"/>
      <c r="E5" s="17"/>
      <c r="F5" s="17"/>
    </row>
    <row r="6" spans="1:11">
      <c r="A6" s="17" t="s">
        <v>6</v>
      </c>
      <c r="B6" s="17"/>
      <c r="C6" s="3"/>
      <c r="D6" s="4"/>
      <c r="E6" s="17"/>
      <c r="F6" s="17"/>
      <c r="I6" t="s">
        <v>228</v>
      </c>
      <c r="J6">
        <v>0.5</v>
      </c>
    </row>
    <row r="7" spans="1:11">
      <c r="A7" s="17" t="s">
        <v>7</v>
      </c>
      <c r="B7" s="17"/>
      <c r="C7" s="3"/>
      <c r="D7" s="4"/>
      <c r="E7" s="17"/>
      <c r="F7" s="17"/>
    </row>
    <row r="8" spans="1:11" ht="18">
      <c r="C8" s="6" t="s">
        <v>8</v>
      </c>
      <c r="J8" s="51" t="s">
        <v>229</v>
      </c>
    </row>
    <row r="9" spans="1:11" ht="13.5" thickBot="1">
      <c r="B9" s="3" t="s">
        <v>9</v>
      </c>
      <c r="C9" s="13" t="s">
        <v>10</v>
      </c>
      <c r="D9" s="15" t="s">
        <v>11</v>
      </c>
      <c r="E9" s="12" t="s">
        <v>12</v>
      </c>
      <c r="F9" s="25" t="s">
        <v>13</v>
      </c>
      <c r="G9" s="11"/>
    </row>
    <row r="10" spans="1:11" ht="13.5" thickBot="1">
      <c r="C10" s="29">
        <f>1/SQRT(3)</f>
        <v>0.57735026918962584</v>
      </c>
      <c r="D10" s="14">
        <f>-C10/2</f>
        <v>-0.28867513459481292</v>
      </c>
      <c r="E10" s="14">
        <f>D10</f>
        <v>-0.28867513459481292</v>
      </c>
      <c r="F10" s="22">
        <f>C10</f>
        <v>0.57735026918962584</v>
      </c>
      <c r="G10" s="1"/>
      <c r="I10" s="13" t="s">
        <v>10</v>
      </c>
      <c r="J10" s="15" t="s">
        <v>11</v>
      </c>
      <c r="K10" s="12" t="s">
        <v>12</v>
      </c>
    </row>
    <row r="11" spans="1:11" ht="13.5" thickTop="1">
      <c r="A11" s="5" t="s">
        <v>230</v>
      </c>
      <c r="B11" s="3" t="s">
        <v>15</v>
      </c>
      <c r="C11" s="29"/>
      <c r="D11" s="29"/>
      <c r="E11" s="8"/>
      <c r="F11" s="26"/>
      <c r="I11" s="29">
        <f>C10*J6</f>
        <v>0.28867513459481292</v>
      </c>
      <c r="J11" s="29">
        <f>D10*J6</f>
        <v>-0.14433756729740646</v>
      </c>
      <c r="K11" s="14">
        <f>E10*J6</f>
        <v>-0.14433756729740646</v>
      </c>
    </row>
    <row r="12" spans="1:11" ht="13.5" thickBot="1">
      <c r="A12" s="9" t="s">
        <v>16</v>
      </c>
      <c r="C12" s="28" t="s">
        <v>17</v>
      </c>
      <c r="D12" s="28" t="s">
        <v>18</v>
      </c>
      <c r="E12" s="10" t="s">
        <v>19</v>
      </c>
      <c r="F12" s="27" t="s">
        <v>20</v>
      </c>
      <c r="K12" s="8"/>
    </row>
    <row r="13" spans="1:11" ht="18.75" thickBot="1">
      <c r="A13" s="31" t="s">
        <v>21</v>
      </c>
      <c r="B13" t="s">
        <v>22</v>
      </c>
      <c r="C13" s="29">
        <f>-(SQRT(3)/2)*((1/3)-COS(B14))</f>
        <v>-0.3616080717372181</v>
      </c>
      <c r="D13" s="29">
        <f>(SQRT(3)/2)*SIN(B14)</f>
        <v>0.86294888995802177</v>
      </c>
      <c r="E13" s="8">
        <v>0</v>
      </c>
      <c r="F13" s="22">
        <f>ABS(C13)</f>
        <v>0.3616080717372181</v>
      </c>
      <c r="G13" s="1"/>
      <c r="I13" s="28" t="s">
        <v>17</v>
      </c>
      <c r="J13" s="28" t="s">
        <v>18</v>
      </c>
      <c r="K13" s="10" t="s">
        <v>19</v>
      </c>
    </row>
    <row r="14" spans="1:11" ht="17.25" thickTop="1" thickBot="1">
      <c r="A14" s="30">
        <v>94.830926181630403</v>
      </c>
      <c r="B14" s="1">
        <f>(A14/180)*PI()</f>
        <v>1.6551118945851446</v>
      </c>
      <c r="C14" s="29"/>
      <c r="D14" s="29"/>
      <c r="E14" s="8"/>
      <c r="F14" s="26"/>
      <c r="G14" s="1"/>
      <c r="I14" s="29">
        <f>C13*J6</f>
        <v>-0.18080403586860905</v>
      </c>
      <c r="J14" s="29">
        <f>D13*J6</f>
        <v>0.43147444497901088</v>
      </c>
      <c r="K14" s="8">
        <v>0</v>
      </c>
    </row>
    <row r="15" spans="1:11" ht="14.25" thickTop="1" thickBot="1">
      <c r="A15" s="7" t="s">
        <v>23</v>
      </c>
      <c r="B15" s="1">
        <f>(A14-INT(A14))*60</f>
        <v>49.85557089782418</v>
      </c>
      <c r="C15" s="28" t="s">
        <v>24</v>
      </c>
      <c r="D15" s="28" t="s">
        <v>25</v>
      </c>
      <c r="E15" s="10" t="s">
        <v>26</v>
      </c>
      <c r="F15" s="24" t="s">
        <v>27</v>
      </c>
      <c r="G15" s="1"/>
      <c r="I15" s="29"/>
      <c r="J15" s="29"/>
      <c r="K15" s="8"/>
    </row>
    <row r="16" spans="1:11" ht="13.5" thickBot="1">
      <c r="A16" s="7" t="s">
        <v>28</v>
      </c>
      <c r="B16" s="1">
        <f>(B15-INT(B15))*60</f>
        <v>51.334253869450777</v>
      </c>
      <c r="C16" s="29">
        <f>(SQRT(3)/4)*((1/3)-COS(B14))</f>
        <v>0.18080403586860905</v>
      </c>
      <c r="D16" s="29">
        <f>D13</f>
        <v>0.86294888995802177</v>
      </c>
      <c r="E16" s="8">
        <f>-(1/4)+(0.75*COS(B14))</f>
        <v>-0.31316177633793663</v>
      </c>
      <c r="F16" s="22">
        <f>1/(2*SQRT(3))</f>
        <v>0.28867513459481292</v>
      </c>
      <c r="G16" s="1"/>
      <c r="I16" s="28" t="s">
        <v>24</v>
      </c>
      <c r="J16" s="28" t="s">
        <v>25</v>
      </c>
      <c r="K16" s="10" t="s">
        <v>26</v>
      </c>
    </row>
    <row r="17" spans="1:11">
      <c r="B17" s="1"/>
      <c r="C17" s="29"/>
      <c r="D17" s="29"/>
      <c r="E17" s="8"/>
      <c r="F17" s="1"/>
      <c r="G17" s="1"/>
      <c r="I17" s="29">
        <f>C16*J6</f>
        <v>9.0402017934304524E-2</v>
      </c>
      <c r="J17" s="29">
        <f>J14</f>
        <v>0.43147444497901088</v>
      </c>
      <c r="K17" s="8">
        <f>E16*J6</f>
        <v>-0.15658088816896831</v>
      </c>
    </row>
    <row r="18" spans="1:11" ht="13.5" thickBot="1">
      <c r="A18" t="s">
        <v>29</v>
      </c>
      <c r="B18" s="1" t="s">
        <v>30</v>
      </c>
      <c r="C18" s="28" t="s">
        <v>31</v>
      </c>
      <c r="D18" s="28" t="s">
        <v>32</v>
      </c>
      <c r="E18" s="10" t="s">
        <v>33</v>
      </c>
      <c r="F18" s="1"/>
      <c r="G18" s="1"/>
      <c r="I18" s="29"/>
      <c r="J18" s="29"/>
      <c r="K18" s="8"/>
    </row>
    <row r="19" spans="1:11" ht="13.5" thickBot="1">
      <c r="A19">
        <f>(180/PI())*ATAN(SQRT(3)*C21)</f>
        <v>65.320055744520943</v>
      </c>
      <c r="B19" s="1">
        <f>A19/180*PI()</f>
        <v>1.1400500403281264</v>
      </c>
      <c r="C19" s="29">
        <f>C16</f>
        <v>0.18080403586860905</v>
      </c>
      <c r="D19" s="29">
        <f>D13</f>
        <v>0.86294888995802177</v>
      </c>
      <c r="E19" s="8">
        <f>-E16</f>
        <v>0.31316177633793663</v>
      </c>
      <c r="F19" s="1"/>
      <c r="G19" s="1" t="s">
        <v>34</v>
      </c>
      <c r="I19" s="28" t="s">
        <v>31</v>
      </c>
      <c r="J19" s="28" t="s">
        <v>32</v>
      </c>
      <c r="K19" s="10" t="s">
        <v>33</v>
      </c>
    </row>
    <row r="20" spans="1:11">
      <c r="A20" s="11"/>
      <c r="B20" s="11"/>
      <c r="C20" s="29"/>
      <c r="D20" s="18"/>
      <c r="E20" s="18"/>
      <c r="F20" s="18"/>
      <c r="G20" s="1"/>
      <c r="I20" s="29">
        <f>C19*J6</f>
        <v>9.0402017934304524E-2</v>
      </c>
      <c r="J20" s="29">
        <f>D19*J6</f>
        <v>0.43147444497901088</v>
      </c>
      <c r="K20" s="8">
        <f>E19*J6</f>
        <v>0.15658088816896831</v>
      </c>
    </row>
    <row r="21" spans="1:11">
      <c r="A21" s="20" t="s">
        <v>35</v>
      </c>
      <c r="B21" s="11"/>
      <c r="C21" s="18">
        <f>(SIN(B14)/2)/((1/SQRT(3))-((SQRT(3)/4)*((1/3)-COS(B14))))</f>
        <v>1.2564077831268281</v>
      </c>
      <c r="D21" s="11"/>
      <c r="E21" s="18" t="s">
        <v>36</v>
      </c>
      <c r="G21" s="1"/>
    </row>
    <row r="22" spans="1:11">
      <c r="A22" s="19" t="s">
        <v>37</v>
      </c>
      <c r="B22" s="11"/>
      <c r="C22" s="18">
        <f>E19-E16</f>
        <v>0.62632355267587325</v>
      </c>
      <c r="E22" s="18" t="s">
        <v>38</v>
      </c>
      <c r="G22" s="1"/>
    </row>
    <row r="23" spans="1:11" ht="13.5" thickBot="1">
      <c r="A23" s="19" t="s">
        <v>39</v>
      </c>
      <c r="B23" s="11"/>
      <c r="C23" s="18">
        <f>1/(SQRT(3)*COS(B19))</f>
        <v>1.3827124975333824</v>
      </c>
      <c r="E23" s="18" t="s">
        <v>40</v>
      </c>
      <c r="F23" s="18"/>
      <c r="G23" s="1"/>
      <c r="I23" t="s">
        <v>231</v>
      </c>
      <c r="J23" s="1">
        <f>C21*J6</f>
        <v>0.62820389156341405</v>
      </c>
    </row>
    <row r="24" spans="1:11" ht="17.25" thickTop="1" thickBot="1">
      <c r="A24" s="19" t="s">
        <v>41</v>
      </c>
      <c r="C24" s="18">
        <f>(1/4)*SQRT(3)</f>
        <v>0.4330127018922193</v>
      </c>
      <c r="D24" s="18"/>
      <c r="E24" s="30">
        <v>94.830926181630403</v>
      </c>
      <c r="F24" s="18"/>
      <c r="G24" s="1"/>
    </row>
    <row r="25" spans="1:11" ht="13.5" thickTop="1">
      <c r="A25" s="21" t="s">
        <v>42</v>
      </c>
      <c r="B25" s="18"/>
      <c r="C25" s="18">
        <f>0.5*C22*C23</f>
        <v>0.43301270189221885</v>
      </c>
      <c r="D25" s="18"/>
      <c r="E25" s="18">
        <v>109.471220399</v>
      </c>
      <c r="F25" s="18" t="s">
        <v>43</v>
      </c>
      <c r="G25" s="1"/>
    </row>
    <row r="26" spans="1:11">
      <c r="A26" s="3" t="s">
        <v>44</v>
      </c>
      <c r="B26" s="11"/>
      <c r="C26" s="18">
        <f>4*C24+3*C25</f>
        <v>3.0310889132455339</v>
      </c>
      <c r="E26" s="18">
        <v>108.97333768579</v>
      </c>
      <c r="F26" t="s">
        <v>45</v>
      </c>
      <c r="G26" s="1"/>
    </row>
    <row r="27" spans="1:11">
      <c r="A27" s="3" t="s">
        <v>46</v>
      </c>
      <c r="B27" s="18"/>
      <c r="C27" s="18">
        <f>(C22/2)/SIN(D29/2)</f>
        <v>0.53438777882651034</v>
      </c>
      <c r="E27" s="18"/>
      <c r="F27" s="18">
        <v>1.2564077831268281</v>
      </c>
      <c r="G27" s="1"/>
    </row>
    <row r="28" spans="1:11">
      <c r="A28" s="23" t="s">
        <v>47</v>
      </c>
      <c r="D28" s="22" t="s">
        <v>48</v>
      </c>
      <c r="E28" s="18"/>
      <c r="F28" s="18"/>
      <c r="G28" s="1"/>
    </row>
    <row r="29" spans="1:11">
      <c r="A29" s="11" t="s">
        <v>49</v>
      </c>
      <c r="C29" s="1">
        <f>(360/PI())*ATAN((C22*COS(B19))/(2*C16))</f>
        <v>71.75012247957558</v>
      </c>
      <c r="D29" s="1">
        <f>C29*PI()/180</f>
        <v>1.2522758759777919</v>
      </c>
      <c r="E29" s="18"/>
      <c r="F29" s="18"/>
      <c r="G29" s="1"/>
    </row>
    <row r="30" spans="1:11">
      <c r="A30" s="11" t="s">
        <v>50</v>
      </c>
      <c r="B30" s="18"/>
      <c r="C30" s="18">
        <f>(360/PI())*ATAN((C22/2)/(C23-(C16/COS(B19))))</f>
        <v>36.499755040848896</v>
      </c>
      <c r="D30" s="1">
        <f>C30*PI()/180</f>
        <v>0.63704090163421057</v>
      </c>
      <c r="E30" s="18"/>
      <c r="F30" s="18"/>
      <c r="G30" s="1"/>
    </row>
    <row r="31" spans="1:11">
      <c r="A31" s="18" t="s">
        <v>51</v>
      </c>
      <c r="B31" s="18"/>
      <c r="C31" s="18">
        <f>(360 - C29 - C30)/2</f>
        <v>125.87506123978777</v>
      </c>
      <c r="D31" s="1">
        <f>C31*PI()/180</f>
        <v>2.1969342647837919</v>
      </c>
      <c r="E31" s="18"/>
      <c r="F31" s="18"/>
      <c r="G31" s="1"/>
    </row>
    <row r="32" spans="1:11">
      <c r="D32" s="18"/>
      <c r="E32" s="1"/>
      <c r="F32" s="1"/>
      <c r="G32" s="1"/>
    </row>
    <row r="33" spans="1:7">
      <c r="A33" t="s">
        <v>52</v>
      </c>
      <c r="C33" s="1">
        <f>2*PI()*F10*C21</f>
        <v>4.5577432765087282</v>
      </c>
      <c r="D33" s="1" t="s">
        <v>53</v>
      </c>
      <c r="E33" s="1"/>
      <c r="F33" s="1"/>
      <c r="G33" s="1"/>
    </row>
    <row r="34" spans="1:7">
      <c r="A34" t="s">
        <v>54</v>
      </c>
      <c r="C34" s="1">
        <f>2*PI()*F16*C21</f>
        <v>2.2788716382543641</v>
      </c>
      <c r="D34" s="1">
        <f>C33/C34</f>
        <v>2</v>
      </c>
      <c r="E34" s="1"/>
      <c r="F34" s="1"/>
      <c r="G34" s="1"/>
    </row>
    <row r="35" spans="1:7">
      <c r="D35" s="22" t="s">
        <v>55</v>
      </c>
      <c r="E35" s="1"/>
      <c r="F35" s="1"/>
      <c r="G35" s="1"/>
    </row>
    <row r="36" spans="1:7">
      <c r="A36" t="s">
        <v>56</v>
      </c>
      <c r="C36" s="1">
        <f>(PI()*F10*F10*C21)/3</f>
        <v>0.4385690512649203</v>
      </c>
      <c r="D36" s="1">
        <f>C36/C37</f>
        <v>4</v>
      </c>
      <c r="E36" s="1"/>
      <c r="F36" s="1"/>
      <c r="G36" s="1"/>
    </row>
    <row r="37" spans="1:7">
      <c r="A37" t="s">
        <v>57</v>
      </c>
      <c r="C37" s="1">
        <f>(PI()*F16*F16*C21)/3</f>
        <v>0.10964226281623007</v>
      </c>
      <c r="D37" s="1"/>
      <c r="E37" s="1"/>
      <c r="F37" s="1"/>
      <c r="G37" s="1"/>
    </row>
    <row r="38" spans="1:7">
      <c r="A38" s="11"/>
      <c r="C38" s="1"/>
      <c r="D38" s="1"/>
      <c r="E38" s="1"/>
      <c r="F38" s="1"/>
      <c r="G38" s="1"/>
    </row>
    <row r="39" spans="1:7">
      <c r="A39" s="7" t="s">
        <v>58</v>
      </c>
      <c r="C39">
        <f>2*(180/PI())*ATAN(F16/C21)</f>
        <v>25.879657147182851</v>
      </c>
      <c r="D39" s="1" t="s">
        <v>59</v>
      </c>
      <c r="E39" s="1" t="s">
        <v>60</v>
      </c>
      <c r="F39" s="1"/>
      <c r="G39" s="1"/>
    </row>
    <row r="40" spans="1:7">
      <c r="A40" s="33" t="s">
        <v>61</v>
      </c>
      <c r="C40">
        <f xml:space="preserve"> C21-(F10*TAN(B19-((PI()/180)*C29/2)))</f>
        <v>0.93049001397513575</v>
      </c>
      <c r="D40" s="1"/>
      <c r="E40" s="1"/>
      <c r="F40" s="1"/>
      <c r="G40" s="1"/>
    </row>
    <row r="41" spans="1:7">
      <c r="D41" s="1"/>
      <c r="E41" s="1"/>
      <c r="F41" s="1"/>
      <c r="G41" s="1"/>
    </row>
    <row r="42" spans="1:7">
      <c r="A42" t="s">
        <v>63</v>
      </c>
      <c r="C42">
        <f>SIN((C30/2)*PI()/180)/(SIN((C30/2)*PI()/180) + 0.5)</f>
        <v>0.3851162037500786</v>
      </c>
      <c r="D42" s="1" t="s">
        <v>64</v>
      </c>
      <c r="E42" s="1" t="s">
        <v>65</v>
      </c>
      <c r="F42" s="1" t="s">
        <v>66</v>
      </c>
      <c r="G42" s="1"/>
    </row>
    <row r="43" spans="1:7">
      <c r="A43" t="s">
        <v>67</v>
      </c>
      <c r="C43">
        <f>1-C42</f>
        <v>0.6148837962499214</v>
      </c>
      <c r="D43" s="1"/>
      <c r="E43" s="1">
        <f>(1+SQRT(5))/2</f>
        <v>1.6180339887498949</v>
      </c>
      <c r="F43" s="1">
        <f>SQRT(2)/E43</f>
        <v>0.87403204889764219</v>
      </c>
      <c r="G43" s="1"/>
    </row>
    <row r="44" spans="1:7">
      <c r="B44" t="s">
        <v>68</v>
      </c>
      <c r="C44">
        <f>2*(SIN((C30/2)*PI()/180)*C43)</f>
        <v>0.38511620375007855</v>
      </c>
      <c r="D44" s="1" t="s">
        <v>69</v>
      </c>
      <c r="E44" s="1"/>
      <c r="F44" s="1"/>
      <c r="G44" s="1"/>
    </row>
    <row r="45" spans="1:7">
      <c r="C45">
        <f>C44/2</f>
        <v>0.19255810187503927</v>
      </c>
      <c r="D45" s="1"/>
      <c r="E45" s="1"/>
      <c r="F45" s="1"/>
      <c r="G45" s="1"/>
    </row>
    <row r="46" spans="1:7">
      <c r="B46" t="s">
        <v>70</v>
      </c>
      <c r="C46">
        <f>0.125/(SIN((C30/2)*PI()/180))</f>
        <v>0.3991547163313795</v>
      </c>
      <c r="D46" s="1"/>
      <c r="E46" s="1"/>
      <c r="F46" s="1"/>
      <c r="G46" s="1"/>
    </row>
    <row r="47" spans="1:7">
      <c r="B47" t="s">
        <v>71</v>
      </c>
      <c r="C47">
        <f>C43-C46</f>
        <v>0.2157290799185419</v>
      </c>
      <c r="D47" s="1"/>
      <c r="E47" s="1"/>
      <c r="F47" s="1"/>
      <c r="G47" s="1"/>
    </row>
    <row r="48" spans="1:7" ht="13.5" thickBot="1">
      <c r="B48" t="s">
        <v>72</v>
      </c>
      <c r="C48">
        <f>C42*(SQRT(2)/(E43*E43))</f>
        <v>0.20803265380563837</v>
      </c>
      <c r="D48" s="32" t="s">
        <v>73</v>
      </c>
    </row>
    <row r="49" spans="2:6" ht="17.25" thickTop="1" thickBot="1">
      <c r="B49" t="s">
        <v>74</v>
      </c>
      <c r="C49">
        <f>C47-C48</f>
        <v>7.6964261129035261E-3</v>
      </c>
      <c r="D49">
        <f>(C49/C47)*100</f>
        <v>3.5676349780055863</v>
      </c>
      <c r="E49" t="s">
        <v>75</v>
      </c>
      <c r="F49" s="30">
        <v>102.8066354</v>
      </c>
    </row>
    <row r="50" spans="2:6" ht="13.5" thickTop="1">
      <c r="B50" t="s">
        <v>76</v>
      </c>
      <c r="C50">
        <f>C43*COS((C30/2)*PI()/180)</f>
        <v>0.58395501564161334</v>
      </c>
    </row>
    <row r="51" spans="2:6">
      <c r="B51" t="s">
        <v>77</v>
      </c>
      <c r="C51" s="1">
        <f>C23-C50</f>
        <v>0.79875748189176909</v>
      </c>
    </row>
    <row r="52" spans="2:6">
      <c r="B52" t="s">
        <v>78</v>
      </c>
      <c r="C52">
        <f>F43*C42</f>
        <v>0.336603904627363</v>
      </c>
      <c r="D52" t="s">
        <v>79</v>
      </c>
    </row>
    <row r="53" spans="2:6">
      <c r="B53" t="s">
        <v>80</v>
      </c>
      <c r="C53">
        <f>C52+C50</f>
        <v>0.92055892026897634</v>
      </c>
    </row>
    <row r="54" spans="2:6">
      <c r="B54" t="s">
        <v>81</v>
      </c>
      <c r="C54" s="1">
        <f>C23-C53</f>
        <v>0.46215357726440609</v>
      </c>
    </row>
    <row r="55" spans="2:6">
      <c r="B55" t="s">
        <v>82</v>
      </c>
      <c r="C55">
        <f>C27*(COS((C29/2)*PI()/180))</f>
        <v>0.43301270189221874</v>
      </c>
      <c r="D55" t="s">
        <v>83</v>
      </c>
    </row>
    <row r="56" spans="2:6">
      <c r="B56" t="s">
        <v>84</v>
      </c>
      <c r="C56" s="1">
        <f>C55-C54</f>
        <v>-2.9140875372187347E-2</v>
      </c>
      <c r="D56">
        <f>(C56/C23)*100</f>
        <v>-2.1075151504142537</v>
      </c>
    </row>
  </sheetData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3"/>
  <sheetViews>
    <sheetView workbookViewId="0">
      <selection activeCell="T52" sqref="T52"/>
    </sheetView>
  </sheetViews>
  <sheetFormatPr defaultRowHeight="12.75"/>
  <cols>
    <col min="1" max="1" width="22.85546875" customWidth="1"/>
    <col min="2" max="2" width="14" customWidth="1"/>
    <col min="3" max="3" width="13.140625" customWidth="1"/>
    <col min="4" max="4" width="15" customWidth="1"/>
  </cols>
  <sheetData>
    <row r="1" spans="1:4" ht="15.75">
      <c r="A1" s="6" t="s">
        <v>232</v>
      </c>
    </row>
    <row r="4" spans="1:4">
      <c r="A4" t="s">
        <v>233</v>
      </c>
      <c r="B4" t="s">
        <v>234</v>
      </c>
      <c r="C4" t="s">
        <v>235</v>
      </c>
      <c r="D4" t="s">
        <v>236</v>
      </c>
    </row>
    <row r="5" spans="1:4">
      <c r="A5" t="s">
        <v>237</v>
      </c>
      <c r="B5">
        <v>1.7320500000000001</v>
      </c>
      <c r="C5">
        <v>0.11785</v>
      </c>
      <c r="D5">
        <f>B5/C5</f>
        <v>14.697072549851507</v>
      </c>
    </row>
    <row r="6" spans="1:4">
      <c r="A6" t="s">
        <v>238</v>
      </c>
      <c r="B6">
        <v>2.0551059999999999</v>
      </c>
      <c r="C6">
        <v>0.23810200000000001</v>
      </c>
      <c r="D6">
        <f t="shared" ref="D6:D13" si="0">B6/C6</f>
        <v>8.6312000739178991</v>
      </c>
    </row>
    <row r="7" spans="1:4">
      <c r="A7" t="s">
        <v>239</v>
      </c>
      <c r="B7">
        <v>2.1366070000000001</v>
      </c>
      <c r="C7">
        <v>0.25964700000000002</v>
      </c>
      <c r="D7">
        <f t="shared" si="0"/>
        <v>8.2288915335051058</v>
      </c>
    </row>
    <row r="8" spans="1:4">
      <c r="A8" t="s">
        <v>240</v>
      </c>
      <c r="B8">
        <v>3.031091</v>
      </c>
      <c r="C8">
        <v>0.35171999999999998</v>
      </c>
      <c r="D8">
        <f t="shared" si="0"/>
        <v>8.6179091322643018</v>
      </c>
    </row>
    <row r="9" spans="1:4">
      <c r="A9" t="s">
        <v>241</v>
      </c>
      <c r="B9">
        <v>3.4641000000000002</v>
      </c>
      <c r="C9">
        <v>0.47139999999999999</v>
      </c>
      <c r="D9">
        <f t="shared" si="0"/>
        <v>7.3485362749257535</v>
      </c>
    </row>
    <row r="10" spans="1:4">
      <c r="A10" t="s">
        <v>242</v>
      </c>
      <c r="B10">
        <v>6</v>
      </c>
      <c r="C10">
        <v>1</v>
      </c>
      <c r="D10">
        <f t="shared" si="0"/>
        <v>6</v>
      </c>
    </row>
    <row r="11" spans="1:4">
      <c r="A11" t="s">
        <v>243</v>
      </c>
      <c r="B11">
        <v>8.6602499999999996</v>
      </c>
      <c r="C11">
        <v>2.1817000000000002</v>
      </c>
      <c r="D11">
        <f t="shared" si="0"/>
        <v>3.9694962643809868</v>
      </c>
    </row>
    <row r="12" spans="1:4">
      <c r="A12" t="s">
        <v>244</v>
      </c>
      <c r="B12">
        <v>12.57</v>
      </c>
      <c r="C12">
        <v>4.1890000000000001</v>
      </c>
      <c r="D12">
        <f t="shared" si="0"/>
        <v>3.0007161613750299</v>
      </c>
    </row>
    <row r="13" spans="1:4">
      <c r="A13" t="s">
        <v>245</v>
      </c>
      <c r="B13">
        <v>20.64573</v>
      </c>
      <c r="C13">
        <v>7.6631200000000002</v>
      </c>
      <c r="D13">
        <f t="shared" si="0"/>
        <v>2.6941676497301361</v>
      </c>
    </row>
  </sheetData>
  <phoneticPr fontId="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Pavillion</dc:creator>
  <cp:keywords/>
  <dc:description/>
  <cp:lastModifiedBy>X</cp:lastModifiedBy>
  <cp:revision/>
  <dcterms:created xsi:type="dcterms:W3CDTF">2010-05-08T02:10:22Z</dcterms:created>
  <dcterms:modified xsi:type="dcterms:W3CDTF">2019-05-30T13:06:43Z</dcterms:modified>
  <cp:category/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